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drawings/drawing6.xml" ContentType="application/vnd.openxmlformats-officedocument.drawingml.chartshapes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nergia\Eficiencia\Consumos\Auditorias\Auditorias_pautas\"/>
    </mc:Choice>
  </mc:AlternateContent>
  <xr:revisionPtr revIDLastSave="0" documentId="13_ncr:1_{4D336877-7336-413A-B3CD-0D9DC63C3489}" xr6:coauthVersionLast="47" xr6:coauthVersionMax="47" xr10:uidLastSave="{00000000-0000-0000-0000-000000000000}"/>
  <bookViews>
    <workbookView xWindow="-103" yWindow="-103" windowWidth="16663" windowHeight="9463" xr2:uid="{00000000-000D-0000-FFFF-FFFF00000000}"/>
  </bookViews>
  <sheets>
    <sheet name="Consumo eléctrico" sheetId="18" r:id="rId1"/>
    <sheet name="Consumo de Gas" sheetId="19" r:id="rId2"/>
    <sheet name="Transporte" sheetId="22" r:id="rId3"/>
    <sheet name="Consumos_Carct._2020" sheetId="23" r:id="rId4"/>
    <sheet name="Consumos_Típico" sheetId="27" r:id="rId5"/>
    <sheet name="Lavavajilla" sheetId="29" r:id="rId6"/>
    <sheet name="Heladera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Fill" localSheetId="5" hidden="1">#REF!</definedName>
    <definedName name="_Fill" hidden="1">#REF!</definedName>
    <definedName name="_Key1" localSheetId="5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_1">'[1]Todos _años'!$L$3</definedName>
    <definedName name="a_3">'[1]Todos _años'!$L$71</definedName>
    <definedName name="a_4">'[1]Todos _años'!$M$71</definedName>
    <definedName name="a_a">[2]Poblacion_Wrld!$AM$7</definedName>
    <definedName name="A00">[3]Heladeras!$Q$40</definedName>
    <definedName name="aa">[4]Figuras!$M$2</definedName>
    <definedName name="AA_a">[2]Poblacion_Wrld!$Q$4</definedName>
    <definedName name="aaa">[2]summary!$AA$9</definedName>
    <definedName name="Ahorr">[5]CABA!$A$3</definedName>
    <definedName name="ahorr_TT">[5]T_pais!$F$3</definedName>
    <definedName name="ano">'[2]Carbon Dioxide Emissions'!$BA$89</definedName>
    <definedName name="anscount" hidden="1">3</definedName>
    <definedName name="aorr_cal">[5]T_pais!$E$3</definedName>
    <definedName name="Areap">[6]solar!$B$3</definedName>
    <definedName name="b_1">'[1]Todos _años'!$L$4</definedName>
    <definedName name="b_3">'[1]Todos _años'!$L$72</definedName>
    <definedName name="b_4">'[1]Todos _años'!$M$72</definedName>
    <definedName name="B_b">[2]Poblacion_Wrld!$AM$8</definedName>
    <definedName name="b00">[7]may_min_2019!$J$35106</definedName>
    <definedName name="base">[4]Consumo_Gas!$E$12</definedName>
    <definedName name="bbb">[2]summary!$AA$10</definedName>
    <definedName name="BEN_2005">'[8]05'!$A$2:$Z$49</definedName>
    <definedName name="btu_bol">[5]mes!$K$5</definedName>
    <definedName name="btu_kcal">[6]Costo_comp!$H$15</definedName>
    <definedName name="c_1">'[1]Todos _años'!$L$6</definedName>
    <definedName name="c_3">'[1]Todos _años'!$L$73</definedName>
    <definedName name="c_4">'[1]Todos _años'!$M$73</definedName>
    <definedName name="c_gas">[9]Gasto_calefaccion!$AG$15</definedName>
    <definedName name="c_ref">[3]Heladeras!$V$35</definedName>
    <definedName name="Cal_anual">[9]Gasto_calefaccion!$U$17</definedName>
    <definedName name="cal_J">'[6]energy Content'!$C$30</definedName>
    <definedName name="Cald">'[10]Consumo R(6)'!$C$13</definedName>
    <definedName name="caldera">'[10]Consumo R23_nuñez(8)'!$C$14</definedName>
    <definedName name="Calef">[6]Cons_gas!$C$8</definedName>
    <definedName name="CC0">[2]Poblacion_Wrld!$AM$9</definedName>
    <definedName name="Con0">'[7]Calibra - Nov2019'!$L$5</definedName>
    <definedName name="cons0">[7]Analisis_nov!$H$13</definedName>
    <definedName name="cop">[7]Carga_dic!$H$23</definedName>
    <definedName name="Cost_equip">[5]T_pais!$L$4</definedName>
    <definedName name="cost_m3">[5]CABA!$I$2</definedName>
    <definedName name="cost_un">[11]Heladeras_01!$O$53</definedName>
    <definedName name="d_inv" localSheetId="1">'Consumo de Gas'!$E$8</definedName>
    <definedName name="d_inv">[4]Consumo_Gas!$E$6</definedName>
    <definedName name="Des_gn">'[6]Propiedades Gases'!$E$20</definedName>
    <definedName name="Dol">'[4]Costo Calefac_RA(19)'!$R$20</definedName>
    <definedName name="dolar" localSheetId="5">[4]Fig.3_Costo_cocc_N18!$I$2</definedName>
    <definedName name="dolar">[11]Heladeras_01!$Q$52</definedName>
    <definedName name="doll">[9]Gasto_calefaccion!$AG$16</definedName>
    <definedName name="dollar">[6]Costo_comp!$S$15</definedName>
    <definedName name="DQ_Wh">[7]Analisis_nov!$E$16</definedName>
    <definedName name="dt">[7]may_min_2019!$J$2</definedName>
    <definedName name="DTA0">[7]Analisis_dic!$D$8</definedName>
    <definedName name="dur">[11]Heladeras_01!$U$53</definedName>
    <definedName name="dura" localSheetId="5">#REF!</definedName>
    <definedName name="dura">[11]Heladeras_01!$V$10</definedName>
    <definedName name="E_eff" localSheetId="5">[4]Figuras!$J$2</definedName>
    <definedName name="E_eff">[11]Figuras!$J$2</definedName>
    <definedName name="EE_cook">[9]Costo_comp!$AH$17</definedName>
    <definedName name="eff">[6]solar!$B$5</definedName>
    <definedName name="eff_elect" localSheetId="5">[4]Energia_resumen!$B$101</definedName>
    <definedName name="eff_elect">[11]Energia_resumen!$B$49</definedName>
    <definedName name="elec_usd">[4]Consumos_ACS!$Y$2</definedName>
    <definedName name="Emis_e_kWh" localSheetId="5">[4]Energia_resumen!$B$102</definedName>
    <definedName name="Emis_e_kWh">[11]Energia_resumen!$B$54</definedName>
    <definedName name="emis_GN">[11]Energia_resumen!$B$50</definedName>
    <definedName name="emis_gn_kwh">[4]Energia_resumen!$B$104</definedName>
    <definedName name="estuf1">[6]Cons_gas!$C$10</definedName>
    <definedName name="Estufita">[6]Cons_gas!$C$11</definedName>
    <definedName name="f_ap">[4]Calefaccion!$Q$1</definedName>
    <definedName name="F_cale">[9]Gasto_calefaccion!$T$15</definedName>
    <definedName name="f_m">'[4]Costo Calefac_Baril(20)'!$J$57</definedName>
    <definedName name="f_solar">[4]Figuras!$Q$1</definedName>
    <definedName name="fact_anual">[5]T_pais!$C$2</definedName>
    <definedName name="FCIE" localSheetId="5">[4]Energia_resumen_2018!$D$73</definedName>
    <definedName name="FCIE">[12]UNSAM_resumen_Oct2021!$D$166</definedName>
    <definedName name="ff">[13]consu_espec!$W$21</definedName>
    <definedName name="ffC" localSheetId="5">[4]Consumos_ACS!$M$2</definedName>
    <definedName name="ffC">[11]Consumos_ACS!$L$2</definedName>
    <definedName name="ffE" localSheetId="5">[4]Consumos_ACS!$L$2</definedName>
    <definedName name="ffE">[11]Consumos_ACS!$K$2</definedName>
    <definedName name="fff">'[4]Costo Calefac_RA(19)'!$G$57</definedName>
    <definedName name="fsolar" localSheetId="5">[4]Figuras!$E$1</definedName>
    <definedName name="fsolar">[11]Figuras!$E$1</definedName>
    <definedName name="G_bo_Q">'[2]Oil – Proved reserves'!$K$2</definedName>
    <definedName name="g_ef">[4]Calefaccion!$R$4</definedName>
    <definedName name="gal_l">'[6]energy Content'!$F$29</definedName>
    <definedName name="GJ_Mbtu">[6]Costo_comp!$H$14</definedName>
    <definedName name="glp_m3">[4]Figuras!$T$1</definedName>
    <definedName name="GN_usd">[4]Consumos_ACS!$Y$1</definedName>
    <definedName name="grow">[1]World_prim!$BU$2</definedName>
    <definedName name="GW_Q">[2]Poblacion_Wrld!$R$9</definedName>
    <definedName name="Gwh">[1]Primaria!$T$3</definedName>
    <definedName name="GWh_ktep">[1]Primaria!$X$2</definedName>
    <definedName name="hornall">[6]Cons_gas!$C$5</definedName>
    <definedName name="Hornallita">[6]Cons_gas!$C$4</definedName>
    <definedName name="Horno">[6]Cons_gas!$C$6</definedName>
    <definedName name="Imp">'[4]Costo Calefac_RA(19)'!$X$4</definedName>
    <definedName name="Imp_E">'[4]Costo Calefac_RA(19)'!$AI$3</definedName>
    <definedName name="incr">'[4]Costo Calefac_RA(19)'!$AD$4</definedName>
    <definedName name="k_Mbtu">[6]Costo_energía!$F$1</definedName>
    <definedName name="kcal2kwh">[9]Poder_calorifico!$G$1</definedName>
    <definedName name="kep_GWh">[1]Electricidad!$K$1</definedName>
    <definedName name="ktep_GWh">[1]Secundaria!$H$9</definedName>
    <definedName name="ktep_m3">[1]Primaria!$V$3</definedName>
    <definedName name="ktep_m3d">[1]Secundaria!$CH$2</definedName>
    <definedName name="ktep_MMm3">'[1]10'!$E$58</definedName>
    <definedName name="ktep_PJ">[1]Secundaria!$D$9</definedName>
    <definedName name="ktep_twh">[1]sec_Elect!$E$1</definedName>
    <definedName name="kw_MJd">[2]Poblacion_Wrld!$AD$18</definedName>
    <definedName name="kwh">[1]Secundaria!$Q$8</definedName>
    <definedName name="kwh_m3" localSheetId="5">[4]consu_espec!$BP$3</definedName>
    <definedName name="kwh_m3">[11]Energia_resumen!$Y$56</definedName>
    <definedName name="kwh_MBTU">[6]Costo_energía!$J$2</definedName>
    <definedName name="kwh_Mcal">[4]Fig.3_Costo_cocc_N18!$E$2</definedName>
    <definedName name="kwh_precio">'[4]Costo Calefac_RA(19)'!$AD$34</definedName>
    <definedName name="kwMJ">[2]Poblacion_Wrld!$N$8</definedName>
    <definedName name="limcount" hidden="1">1</definedName>
    <definedName name="m3_btu">[5]mes!$K$2</definedName>
    <definedName name="m3_d_ktep">'[1]Todos _años'!$AD$5</definedName>
    <definedName name="m3_kwh" localSheetId="5">[4]Energia_resumen!$G$1</definedName>
    <definedName name="m3_kwh">[11]Energia_resumen!$G$1</definedName>
    <definedName name="mbtu_bb">[9]Costo_comp!$M$15</definedName>
    <definedName name="MBTU_buq">[5]mes!$L$5</definedName>
    <definedName name="Mbtu_mwh">[6]Costo_comp!$R$61</definedName>
    <definedName name="min">[14]ano1!$N$2</definedName>
    <definedName name="MJ_kcal">[6]Poder_calorifico!$J$1</definedName>
    <definedName name="mm_m3_d">[1]Primaria!$U$2</definedName>
    <definedName name="MMbtu">[5]CABA!$I$1</definedName>
    <definedName name="mu">[3]Heladeras!$L$47</definedName>
    <definedName name="N_GLP">[5]Distrib_Cons!$N$1</definedName>
    <definedName name="N_hel">[3]Heladeras!$V$39</definedName>
    <definedName name="NN">[7]Calculos!$G$11</definedName>
    <definedName name="nom">'[7]Heladeras (3)'!$I$113</definedName>
    <definedName name="NT" localSheetId="5">[4]Heladeras_02!$J$8</definedName>
    <definedName name="NT">[11]Heladeras_01!$J$8</definedName>
    <definedName name="p_cal">[5]T_pais!$E$5</definedName>
    <definedName name="p_glp">[5]T_pais!$C$5</definedName>
    <definedName name="p_kwh" localSheetId="5">[4]Heladeras_02!$S$11</definedName>
    <definedName name="p_kwh">[11]Heladeras_01!$S$11</definedName>
    <definedName name="p_TT">[5]T_pais!$F$5</definedName>
    <definedName name="P0">'[6]Propiedades Gases'!$P$1</definedName>
    <definedName name="PC_sup">[6]Cons_gas!$J$2</definedName>
    <definedName name="pglp">[5]Residencial!$CN$5</definedName>
    <definedName name="Piloto">[6]Cons_gas!$C$9</definedName>
    <definedName name="PM">[7]may_min_2019!$M$36035</definedName>
    <definedName name="pobl">[1]Combustible_cocc!$M$4</definedName>
    <definedName name="porc" localSheetId="5">[4]Heladeras_02!$N$9</definedName>
    <definedName name="porc">[11]Heladeras_01!$N$9</definedName>
    <definedName name="precioUSD" localSheetId="5">[4]Heladeras_02!$J$10</definedName>
    <definedName name="precioUSD">[11]Heladeras_01!$J$10</definedName>
    <definedName name="proc">[11]Heladeras_01!$Q$53</definedName>
    <definedName name="Pstd">'[6]Propiedades Gases'!$P$2</definedName>
    <definedName name="q">'[7]Calibra - Nov2019'!$Q$107</definedName>
    <definedName name="Q_an">[6]solar!$B$6</definedName>
    <definedName name="Q_Q">'[2]Gas – Proved reserves'!$K$2</definedName>
    <definedName name="Q0">[5]CABA!$A$2</definedName>
    <definedName name="Q00">[5]C_pais!$AB$3</definedName>
    <definedName name="QQ">'[4]Fig.xx(5)'!$H$1</definedName>
    <definedName name="qqq">[4]Consumos_ACS!$Y$4</definedName>
    <definedName name="Qu_sol" localSheetId="5">[4]Consumos_ACS!$M$6</definedName>
    <definedName name="Qu_sol">[11]Consumos_ACS!$L$6</definedName>
    <definedName name="Qu0" localSheetId="5">[4]Consumos_ACS!$M$5</definedName>
    <definedName name="Qu0">[11]Consumos_ACS!$L$5</definedName>
    <definedName name="qu00" localSheetId="5">[4]Consumos_ACS!$M$4</definedName>
    <definedName name="qu00">[11]Consumos_ACS!$L$4</definedName>
    <definedName name="Rad_m">[15]solar!$B$4</definedName>
    <definedName name="sencount" hidden="1">1</definedName>
    <definedName name="sig">[3]Heladeras!$L$48</definedName>
    <definedName name="simult">'[10]Consumo R23_nuñez(8)'!$C$4</definedName>
    <definedName name="slop">'[7]Calibra - Nov2019'!$L$6</definedName>
    <definedName name="sol">[2]Consumo_electr!$BK$39</definedName>
    <definedName name="st">[4]Consumos_ACS!$H$7</definedName>
    <definedName name="T_f">[7]Calculos!$C$10</definedName>
    <definedName name="TA">[7]Calculos!$C$1</definedName>
    <definedName name="TA0">[7]Analisis_dic!$B$8</definedName>
    <definedName name="tau">[7]Analisis_nov!$E$15</definedName>
    <definedName name="Tbtu">[1]Primaria!$U$1</definedName>
    <definedName name="TD">[4]Consumos_ACS!$Y$3</definedName>
    <definedName name="TFF">[7]Calculos!$C$9</definedName>
    <definedName name="tir">'[4]Costo Calefac_RA(19)'!$F$56</definedName>
    <definedName name="To">'[6]Propiedades Gases'!$N$2</definedName>
    <definedName name="Tstd">'[6]Propiedades Gases'!$P$3</definedName>
    <definedName name="twh">[1]Primaria!$T$4</definedName>
    <definedName name="unid">'[10]Consumo R23_nuñez(8)'!$I$10</definedName>
    <definedName name="usd_kwh">'[7]Calibra - Nov2019'!$M$115</definedName>
    <definedName name="V_c">[7]Calculos!$C$3</definedName>
    <definedName name="V_f">[7]Calculos!$C$2</definedName>
    <definedName name="vid">[9]Costo_comp!$AP$16</definedName>
    <definedName name="Vo">'[6]Propiedades Gases'!$N$1</definedName>
    <definedName name="vol">[4]Calefaccion!$J$5</definedName>
    <definedName name="Vuso" localSheetId="5">[4]Figuras!$J$1</definedName>
    <definedName name="Vuso">[11]Figuras!$J$1</definedName>
    <definedName name="windd">[2]Consumo_electr!$BK$38</definedName>
    <definedName name="wrn.AMIGABLE." localSheetId="5" hidden="1">{#N/A,#N/A,FALSE,"Montos"}</definedName>
    <definedName name="wrn.AMIGABLE." hidden="1">{#N/A,#N/A,FALSE,"Montos"}</definedName>
    <definedName name="wrn.COMPLETO." localSheetId="5" hidden="1">{"PRECIOS CLIENTES HOJA1",#N/A,FALSE,"Precios Clientes";"DATOS COMPRAS HOJA1",#N/A,FALSE,"Datos Compras";"DATOS TF1",#N/A,FALSE,"Datos TF";"DATOS TF2",#N/A,FALSE,"Datos TF";"BALANCE1",#N/A,FALSE,"Balance";"TRANSPORTE HOJA1",#N/A,FALSE,"Transporte";"TRANSPORTE HOJA2",#N/A,FALSE,"Transporte";"COMPRAS HOJA1",#N/A,FALSE,"Compras";"COMPRAS HOJA2",#N/A,FALSE,"Compras";"COMPRAS HOJA3",#N/A,FALSE,"Compras";"TOP HOJA1",#N/A,FALSE,"TOP";"VENTAS HOJA1",#N/A,FALSE,"Ventas";"VENTAS HOJA2",#N/A,FALSE,"Ventas";"MONTOS HOJA1",#N/A,FALSE,"Montos"}</definedName>
    <definedName name="wrn.COMPLETO." hidden="1">{"PRECIOS CLIENTES HOJA1",#N/A,FALSE,"Precios Clientes";"DATOS COMPRAS HOJA1",#N/A,FALSE,"Datos Compras";"DATOS TF1",#N/A,FALSE,"Datos TF";"DATOS TF2",#N/A,FALSE,"Datos TF";"BALANCE1",#N/A,FALSE,"Balance";"TRANSPORTE HOJA1",#N/A,FALSE,"Transporte";"TRANSPORTE HOJA2",#N/A,FALSE,"Transporte";"COMPRAS HOJA1",#N/A,FALSE,"Compras";"COMPRAS HOJA2",#N/A,FALSE,"Compras";"COMPRAS HOJA3",#N/A,FALSE,"Compras";"TOP HOJA1",#N/A,FALSE,"TOP";"VENTAS HOJA1",#N/A,FALSE,"Ventas";"VENTAS HOJA2",#N/A,FALSE,"Ventas";"MONTOS HOJA1",#N/A,FALSE,"Montos"}</definedName>
    <definedName name="yea">[4]Consumos_ACS!$Q$8</definedName>
    <definedName name="year">'[7]Calibra - Nov2019'!$O$109</definedName>
    <definedName name="year_ref">'[1]Todos _años'!$L$8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18" l="1"/>
  <c r="P15" i="22"/>
  <c r="N15" i="22"/>
  <c r="H14" i="22"/>
  <c r="D18" i="28"/>
  <c r="E11" i="28"/>
  <c r="E12" i="28"/>
  <c r="E13" i="28"/>
  <c r="E14" i="28"/>
  <c r="E15" i="28"/>
  <c r="C3" i="28"/>
  <c r="B11" i="28"/>
  <c r="B12" i="28" s="1"/>
  <c r="B13" i="28" s="1"/>
  <c r="B14" i="28" s="1"/>
  <c r="B15" i="28" s="1"/>
  <c r="P77" i="19"/>
  <c r="R77" i="19" s="1"/>
  <c r="P75" i="19"/>
  <c r="R75" i="19" s="1"/>
  <c r="P72" i="19"/>
  <c r="R72" i="19" s="1"/>
  <c r="R69" i="19"/>
  <c r="P69" i="19"/>
  <c r="L77" i="19"/>
  <c r="N77" i="19" s="1"/>
  <c r="L75" i="19"/>
  <c r="N75" i="19" s="1"/>
  <c r="L72" i="19"/>
  <c r="N72" i="19" s="1"/>
  <c r="N69" i="19"/>
  <c r="L69" i="19"/>
  <c r="M56" i="23"/>
  <c r="M55" i="23"/>
  <c r="F19" i="29"/>
  <c r="G19" i="29" s="1"/>
  <c r="F18" i="29"/>
  <c r="G18" i="29" s="1"/>
  <c r="F17" i="29"/>
  <c r="G17" i="29" s="1"/>
  <c r="F16" i="29"/>
  <c r="G16" i="29" s="1"/>
  <c r="F15" i="29"/>
  <c r="G15" i="29" s="1"/>
  <c r="F14" i="29"/>
  <c r="G14" i="29" s="1"/>
  <c r="F13" i="29"/>
  <c r="G13" i="29" s="1"/>
  <c r="F12" i="29"/>
  <c r="G12" i="29" s="1"/>
  <c r="F11" i="29"/>
  <c r="G11" i="29" s="1"/>
  <c r="F10" i="29"/>
  <c r="G10" i="29" s="1"/>
  <c r="F9" i="29"/>
  <c r="G9" i="29" s="1"/>
  <c r="F5" i="29"/>
  <c r="F4" i="29"/>
  <c r="Y46" i="22" l="1"/>
  <c r="Y45" i="22"/>
  <c r="Y44" i="22"/>
  <c r="Y39" i="22"/>
  <c r="Y43" i="22"/>
  <c r="Y41" i="22"/>
  <c r="Y40" i="22"/>
  <c r="Y36" i="22"/>
  <c r="Y37" i="22"/>
  <c r="Y38" i="22"/>
  <c r="Y42" i="22"/>
  <c r="Y35" i="22"/>
  <c r="F7" i="22"/>
  <c r="F6" i="22"/>
  <c r="H5" i="22"/>
  <c r="F5" i="22"/>
  <c r="G19" i="18"/>
  <c r="H19" i="18" s="1"/>
  <c r="C24" i="28"/>
  <c r="D20" i="28" s="1"/>
  <c r="D19" i="28"/>
  <c r="E6" i="28"/>
  <c r="F10" i="28"/>
  <c r="F9" i="28"/>
  <c r="F8" i="28"/>
  <c r="F7" i="28"/>
  <c r="B7" i="28"/>
  <c r="E7" i="28" s="1"/>
  <c r="F6" i="28"/>
  <c r="B8" i="28" l="1"/>
  <c r="I88" i="18"/>
  <c r="C22" i="19"/>
  <c r="B9" i="28" l="1"/>
  <c r="E8" i="28"/>
  <c r="E9" i="28" l="1"/>
  <c r="B10" i="28"/>
  <c r="I32" i="27"/>
  <c r="H32" i="27"/>
  <c r="I31" i="27"/>
  <c r="H31" i="27"/>
  <c r="I22" i="27"/>
  <c r="H22" i="27"/>
  <c r="F68" i="23"/>
  <c r="E68" i="23"/>
  <c r="D68" i="23"/>
  <c r="C68" i="23"/>
  <c r="G68" i="23"/>
  <c r="C69" i="23"/>
  <c r="D69" i="23"/>
  <c r="E69" i="23"/>
  <c r="F69" i="23"/>
  <c r="G69" i="23"/>
  <c r="H69" i="23"/>
  <c r="C70" i="23"/>
  <c r="D70" i="23"/>
  <c r="E70" i="23"/>
  <c r="F70" i="23"/>
  <c r="G70" i="23"/>
  <c r="H70" i="23"/>
  <c r="C71" i="23"/>
  <c r="D71" i="23"/>
  <c r="E71" i="23"/>
  <c r="F71" i="23"/>
  <c r="G71" i="23"/>
  <c r="H71" i="23"/>
  <c r="C72" i="23"/>
  <c r="D72" i="23"/>
  <c r="E72" i="23"/>
  <c r="F72" i="23"/>
  <c r="G72" i="23"/>
  <c r="H72" i="23"/>
  <c r="C73" i="23"/>
  <c r="D73" i="23"/>
  <c r="E73" i="23"/>
  <c r="F73" i="23"/>
  <c r="G73" i="23"/>
  <c r="H73" i="23"/>
  <c r="C76" i="23"/>
  <c r="D76" i="23"/>
  <c r="E76" i="23"/>
  <c r="F76" i="23"/>
  <c r="G76" i="23"/>
  <c r="H76" i="23"/>
  <c r="C77" i="23"/>
  <c r="D77" i="23"/>
  <c r="E77" i="23"/>
  <c r="F77" i="23"/>
  <c r="G77" i="23"/>
  <c r="H77" i="23"/>
  <c r="B77" i="23"/>
  <c r="B70" i="23"/>
  <c r="B71" i="23"/>
  <c r="B72" i="23"/>
  <c r="B73" i="23"/>
  <c r="B76" i="23"/>
  <c r="B66" i="23"/>
  <c r="C66" i="23"/>
  <c r="D66" i="23"/>
  <c r="E66" i="23"/>
  <c r="F66" i="23"/>
  <c r="G66" i="23"/>
  <c r="H66" i="23"/>
  <c r="B67" i="23"/>
  <c r="C67" i="23"/>
  <c r="D67" i="23"/>
  <c r="E67" i="23"/>
  <c r="F67" i="23"/>
  <c r="G67" i="23"/>
  <c r="H67" i="23"/>
  <c r="H68" i="23"/>
  <c r="B53" i="23"/>
  <c r="C53" i="23"/>
  <c r="D53" i="23"/>
  <c r="E53" i="23"/>
  <c r="F53" i="23"/>
  <c r="G53" i="23"/>
  <c r="H53" i="23"/>
  <c r="B54" i="23"/>
  <c r="C54" i="23"/>
  <c r="D54" i="23"/>
  <c r="E54" i="23"/>
  <c r="F54" i="23"/>
  <c r="G54" i="23"/>
  <c r="H54" i="23"/>
  <c r="B55" i="23"/>
  <c r="C55" i="23"/>
  <c r="D55" i="23"/>
  <c r="E55" i="23"/>
  <c r="F55" i="23"/>
  <c r="G55" i="23"/>
  <c r="H55" i="23"/>
  <c r="B56" i="23"/>
  <c r="C56" i="23"/>
  <c r="D56" i="23"/>
  <c r="E56" i="23"/>
  <c r="F56" i="23"/>
  <c r="G56" i="23"/>
  <c r="H56" i="23"/>
  <c r="B57" i="23"/>
  <c r="C57" i="23"/>
  <c r="D57" i="23"/>
  <c r="E57" i="23"/>
  <c r="F57" i="23"/>
  <c r="G57" i="23"/>
  <c r="H57" i="23"/>
  <c r="B58" i="23"/>
  <c r="C58" i="23"/>
  <c r="D58" i="23"/>
  <c r="E58" i="23"/>
  <c r="F58" i="23"/>
  <c r="G58" i="23"/>
  <c r="H58" i="23"/>
  <c r="B59" i="23"/>
  <c r="C59" i="23"/>
  <c r="D59" i="23"/>
  <c r="E59" i="23"/>
  <c r="F59" i="23"/>
  <c r="G59" i="23"/>
  <c r="H59" i="23"/>
  <c r="B60" i="23"/>
  <c r="C60" i="23"/>
  <c r="D60" i="23"/>
  <c r="E60" i="23"/>
  <c r="F60" i="23"/>
  <c r="G60" i="23"/>
  <c r="H60" i="23"/>
  <c r="B61" i="23"/>
  <c r="C61" i="23"/>
  <c r="D61" i="23"/>
  <c r="E61" i="23"/>
  <c r="F61" i="23"/>
  <c r="G61" i="23"/>
  <c r="H61" i="23"/>
  <c r="B62" i="23"/>
  <c r="C62" i="23"/>
  <c r="D62" i="23"/>
  <c r="E62" i="23"/>
  <c r="F62" i="23"/>
  <c r="G62" i="23"/>
  <c r="H62" i="23"/>
  <c r="B63" i="23"/>
  <c r="C63" i="23"/>
  <c r="D63" i="23"/>
  <c r="E63" i="23"/>
  <c r="F63" i="23"/>
  <c r="G63" i="23"/>
  <c r="H63" i="23"/>
  <c r="B64" i="23"/>
  <c r="C64" i="23"/>
  <c r="D64" i="23"/>
  <c r="E64" i="23"/>
  <c r="F64" i="23"/>
  <c r="G64" i="23"/>
  <c r="H64" i="23"/>
  <c r="B65" i="23"/>
  <c r="C65" i="23"/>
  <c r="D65" i="23"/>
  <c r="E65" i="23"/>
  <c r="F65" i="23"/>
  <c r="G65" i="23"/>
  <c r="H65" i="23"/>
  <c r="C50" i="23"/>
  <c r="D50" i="23"/>
  <c r="E50" i="23"/>
  <c r="F50" i="23"/>
  <c r="G50" i="23"/>
  <c r="H50" i="23"/>
  <c r="C51" i="23"/>
  <c r="D51" i="23"/>
  <c r="E51" i="23"/>
  <c r="F51" i="23"/>
  <c r="G51" i="23"/>
  <c r="H51" i="23"/>
  <c r="C52" i="23"/>
  <c r="D52" i="23"/>
  <c r="E52" i="23"/>
  <c r="F52" i="23"/>
  <c r="G52" i="23"/>
  <c r="H52" i="23"/>
  <c r="B52" i="23"/>
  <c r="B49" i="23"/>
  <c r="D44" i="23"/>
  <c r="E44" i="23"/>
  <c r="F44" i="23"/>
  <c r="G44" i="23"/>
  <c r="H44" i="23"/>
  <c r="C44" i="23"/>
  <c r="D43" i="23"/>
  <c r="E43" i="23"/>
  <c r="F43" i="23"/>
  <c r="G43" i="23"/>
  <c r="H43" i="23"/>
  <c r="C43" i="23"/>
  <c r="D41" i="23"/>
  <c r="E41" i="23"/>
  <c r="F41" i="23"/>
  <c r="G41" i="23"/>
  <c r="H41" i="23"/>
  <c r="C41" i="23"/>
  <c r="D33" i="23"/>
  <c r="E33" i="23"/>
  <c r="F33" i="23"/>
  <c r="G33" i="23"/>
  <c r="H33" i="23"/>
  <c r="C33" i="23"/>
  <c r="D21" i="23"/>
  <c r="E21" i="23"/>
  <c r="F21" i="23"/>
  <c r="G21" i="23"/>
  <c r="H21" i="23"/>
  <c r="C21" i="23"/>
  <c r="F28" i="18"/>
  <c r="G28" i="18" s="1"/>
  <c r="H28" i="18" s="1"/>
  <c r="F29" i="18"/>
  <c r="G29" i="18" s="1"/>
  <c r="H29" i="18" s="1"/>
  <c r="AS61" i="22"/>
  <c r="AS62" i="22"/>
  <c r="AS63" i="22"/>
  <c r="AS64" i="22"/>
  <c r="AS65" i="22"/>
  <c r="AS66" i="22"/>
  <c r="AS67" i="22"/>
  <c r="AS68" i="22"/>
  <c r="AS69" i="22"/>
  <c r="AS60" i="22"/>
  <c r="N16" i="22"/>
  <c r="P16" i="22" s="1"/>
  <c r="O12" i="22"/>
  <c r="O13" i="22"/>
  <c r="O11" i="22"/>
  <c r="F11" i="22"/>
  <c r="D11" i="22"/>
  <c r="L5" i="22"/>
  <c r="I5" i="22"/>
  <c r="J5" i="22" s="1"/>
  <c r="K5" i="22" s="1"/>
  <c r="T22" i="22"/>
  <c r="T20" i="22"/>
  <c r="T19" i="22"/>
  <c r="T18" i="22"/>
  <c r="T17" i="22"/>
  <c r="T15" i="22"/>
  <c r="U9" i="22"/>
  <c r="U8" i="22"/>
  <c r="U7" i="22"/>
  <c r="U6" i="22"/>
  <c r="U5" i="22"/>
  <c r="U4" i="22"/>
  <c r="M16" i="22"/>
  <c r="M15" i="22"/>
  <c r="AL8" i="18"/>
  <c r="AM8" i="18"/>
  <c r="AN8" i="18"/>
  <c r="AK8" i="18"/>
  <c r="G15" i="18"/>
  <c r="H15" i="18" s="1"/>
  <c r="G16" i="18"/>
  <c r="H16" i="18" s="1"/>
  <c r="G17" i="18"/>
  <c r="H17" i="18" s="1"/>
  <c r="G18" i="18"/>
  <c r="F20" i="18"/>
  <c r="G20" i="18" s="1"/>
  <c r="F21" i="18"/>
  <c r="G21" i="18" s="1"/>
  <c r="H21" i="18" s="1"/>
  <c r="F25" i="18"/>
  <c r="G25" i="18" s="1"/>
  <c r="H25" i="18" s="1"/>
  <c r="F22" i="18"/>
  <c r="G22" i="18" s="1"/>
  <c r="H22" i="18" s="1"/>
  <c r="F23" i="18"/>
  <c r="G23" i="18" s="1"/>
  <c r="H23" i="18" s="1"/>
  <c r="F24" i="18"/>
  <c r="G24" i="18" s="1"/>
  <c r="H24" i="18" s="1"/>
  <c r="F26" i="18"/>
  <c r="G26" i="18"/>
  <c r="H26" i="18" s="1"/>
  <c r="F27" i="18"/>
  <c r="G27" i="18" s="1"/>
  <c r="H27" i="18" s="1"/>
  <c r="F31" i="18"/>
  <c r="G31" i="18" s="1"/>
  <c r="H31" i="18" s="1"/>
  <c r="C65" i="18" s="1"/>
  <c r="F30" i="18"/>
  <c r="G30" i="18" s="1"/>
  <c r="H30" i="18" s="1"/>
  <c r="F32" i="18"/>
  <c r="G32" i="18" s="1"/>
  <c r="H32" i="18" s="1"/>
  <c r="F33" i="18"/>
  <c r="G33" i="18" s="1"/>
  <c r="F39" i="18"/>
  <c r="G39" i="18"/>
  <c r="H39" i="18" s="1"/>
  <c r="F38" i="18"/>
  <c r="G38" i="18" s="1"/>
  <c r="H38" i="18" s="1"/>
  <c r="F44" i="18"/>
  <c r="G44" i="18" s="1"/>
  <c r="H44" i="18" s="1"/>
  <c r="F41" i="18"/>
  <c r="G41" i="18" s="1"/>
  <c r="H41" i="18" s="1"/>
  <c r="F37" i="18"/>
  <c r="G37" i="18"/>
  <c r="H37" i="18"/>
  <c r="F36" i="18"/>
  <c r="G36" i="18" s="1"/>
  <c r="F35" i="18"/>
  <c r="G35" i="18" s="1"/>
  <c r="H35" i="18" s="1"/>
  <c r="F34" i="18"/>
  <c r="G34" i="18" s="1"/>
  <c r="H34" i="18" s="1"/>
  <c r="F42" i="18"/>
  <c r="G42" i="18" s="1"/>
  <c r="F43" i="18"/>
  <c r="G43" i="18"/>
  <c r="H43" i="18" s="1"/>
  <c r="F40" i="18"/>
  <c r="G40" i="18" s="1"/>
  <c r="H40" i="18" s="1"/>
  <c r="F46" i="18"/>
  <c r="G46" i="18"/>
  <c r="B71" i="18" s="1"/>
  <c r="G47" i="18"/>
  <c r="H47" i="18" s="1"/>
  <c r="C72" i="18" s="1"/>
  <c r="E45" i="18"/>
  <c r="F45" i="18" s="1"/>
  <c r="G45" i="18" s="1"/>
  <c r="G50" i="18"/>
  <c r="H50" i="18" s="1"/>
  <c r="E49" i="18"/>
  <c r="F49" i="18"/>
  <c r="G49" i="18" s="1"/>
  <c r="G51" i="18"/>
  <c r="H51" i="18" s="1"/>
  <c r="AB7" i="18"/>
  <c r="Q20" i="22"/>
  <c r="Q21" i="22"/>
  <c r="Q22" i="22"/>
  <c r="Q23" i="22"/>
  <c r="Q19" i="22"/>
  <c r="O20" i="22"/>
  <c r="O19" i="22"/>
  <c r="N20" i="22"/>
  <c r="M109" i="23"/>
  <c r="M108" i="23"/>
  <c r="M107" i="23"/>
  <c r="M106" i="23"/>
  <c r="M105" i="23"/>
  <c r="M104" i="23"/>
  <c r="M103" i="23"/>
  <c r="M102" i="23"/>
  <c r="M101" i="23"/>
  <c r="M100" i="23"/>
  <c r="M99" i="23"/>
  <c r="M98" i="23"/>
  <c r="M97" i="23"/>
  <c r="M95" i="23"/>
  <c r="M94" i="23"/>
  <c r="M93" i="23"/>
  <c r="M92" i="23"/>
  <c r="M91" i="23"/>
  <c r="M90" i="23"/>
  <c r="M89" i="23"/>
  <c r="M88" i="23"/>
  <c r="M87" i="23"/>
  <c r="M86" i="23"/>
  <c r="M85" i="23"/>
  <c r="M84" i="23"/>
  <c r="M83" i="23"/>
  <c r="M70" i="23"/>
  <c r="M69" i="23"/>
  <c r="M68" i="23"/>
  <c r="M67" i="23"/>
  <c r="M66" i="23"/>
  <c r="M65" i="23"/>
  <c r="M64" i="23"/>
  <c r="M63" i="23"/>
  <c r="M62" i="23"/>
  <c r="M61" i="23"/>
  <c r="M60" i="23"/>
  <c r="M59" i="23"/>
  <c r="M58" i="23"/>
  <c r="M54" i="23"/>
  <c r="M53" i="23"/>
  <c r="M47" i="23"/>
  <c r="M46" i="23"/>
  <c r="M45" i="23"/>
  <c r="M44" i="23"/>
  <c r="M43" i="23"/>
  <c r="M42" i="23"/>
  <c r="M28" i="23"/>
  <c r="M27" i="23"/>
  <c r="M26" i="23"/>
  <c r="G26" i="23"/>
  <c r="H26" i="23"/>
  <c r="M25" i="23"/>
  <c r="G25" i="23"/>
  <c r="H25" i="23"/>
  <c r="M24" i="23"/>
  <c r="H24" i="23"/>
  <c r="M23" i="23"/>
  <c r="H23" i="23"/>
  <c r="M22" i="23"/>
  <c r="M20" i="23"/>
  <c r="M19" i="23"/>
  <c r="M18" i="23"/>
  <c r="M17" i="23"/>
  <c r="M16" i="23"/>
  <c r="M15" i="23"/>
  <c r="M14" i="23"/>
  <c r="M13" i="23"/>
  <c r="Q12" i="23"/>
  <c r="M12" i="23"/>
  <c r="Q11" i="23"/>
  <c r="Q10" i="23"/>
  <c r="Q9" i="23"/>
  <c r="Q8" i="23"/>
  <c r="Q7" i="23"/>
  <c r="Q6" i="23"/>
  <c r="M5" i="23"/>
  <c r="M4" i="23"/>
  <c r="AS102" i="22"/>
  <c r="AS101" i="22"/>
  <c r="AS100" i="22"/>
  <c r="AS99" i="22"/>
  <c r="AS98" i="22"/>
  <c r="AS97" i="22"/>
  <c r="AS96" i="22"/>
  <c r="AS95" i="22"/>
  <c r="AD88" i="22"/>
  <c r="AE88" i="22" s="1"/>
  <c r="AD87" i="22"/>
  <c r="AE87" i="22" s="1"/>
  <c r="AD86" i="22"/>
  <c r="AE86" i="22" s="1"/>
  <c r="AD85" i="22"/>
  <c r="AE85" i="22" s="1"/>
  <c r="AD84" i="22"/>
  <c r="AE84" i="22" s="1"/>
  <c r="AD83" i="22"/>
  <c r="AE83" i="22" s="1"/>
  <c r="AD82" i="22"/>
  <c r="AE82" i="22" s="1"/>
  <c r="AD81" i="22"/>
  <c r="AE81" i="22" s="1"/>
  <c r="AD80" i="22"/>
  <c r="AE80" i="22" s="1"/>
  <c r="AD79" i="22"/>
  <c r="AE79" i="22" s="1"/>
  <c r="AD78" i="22"/>
  <c r="AE78" i="22"/>
  <c r="AD77" i="22"/>
  <c r="AE77" i="22" s="1"/>
  <c r="AD76" i="22"/>
  <c r="AE76" i="22" s="1"/>
  <c r="AV55" i="22"/>
  <c r="AV54" i="22"/>
  <c r="AV53" i="22"/>
  <c r="AV52" i="22"/>
  <c r="BR13" i="22"/>
  <c r="BO13" i="22"/>
  <c r="BQ13" i="22" s="1"/>
  <c r="AZ13" i="22"/>
  <c r="AX13" i="22"/>
  <c r="AC13" i="22"/>
  <c r="F13" i="22"/>
  <c r="D13" i="22"/>
  <c r="I12" i="22"/>
  <c r="J12" i="22" s="1"/>
  <c r="K12" i="22" s="1"/>
  <c r="F12" i="22"/>
  <c r="N12" i="22" s="1"/>
  <c r="D12" i="22"/>
  <c r="X10" i="22"/>
  <c r="Y11" i="22" s="1"/>
  <c r="AA11" i="22" s="1"/>
  <c r="AC10" i="22" s="1"/>
  <c r="AD10" i="22" s="1"/>
  <c r="P10" i="22"/>
  <c r="I16" i="22"/>
  <c r="I8" i="22"/>
  <c r="X7" i="22"/>
  <c r="Y8" i="22" s="1"/>
  <c r="M7" i="22"/>
  <c r="L7" i="22"/>
  <c r="H7" i="22"/>
  <c r="I7" i="22" s="1"/>
  <c r="J7" i="22" s="1"/>
  <c r="K7" i="22" s="1"/>
  <c r="M6" i="22"/>
  <c r="M8" i="22" s="1"/>
  <c r="L6" i="22"/>
  <c r="H6" i="22"/>
  <c r="I6" i="22" s="1"/>
  <c r="J6" i="22" s="1"/>
  <c r="K6" i="22" s="1"/>
  <c r="X5" i="22"/>
  <c r="Y6" i="22" s="1"/>
  <c r="M5" i="22"/>
  <c r="E41" i="19"/>
  <c r="G48" i="18"/>
  <c r="H48" i="18"/>
  <c r="C73" i="18" s="1"/>
  <c r="H73" i="18" s="1"/>
  <c r="L16" i="22"/>
  <c r="C28" i="19"/>
  <c r="B28" i="19" s="1"/>
  <c r="E28" i="19" s="1"/>
  <c r="C82" i="18" s="1"/>
  <c r="G52" i="18"/>
  <c r="H52" i="18" s="1"/>
  <c r="C75" i="18" s="1"/>
  <c r="AC7" i="18" s="1"/>
  <c r="B75" i="18"/>
  <c r="D17" i="18"/>
  <c r="D16" i="18"/>
  <c r="D15" i="18"/>
  <c r="G60" i="18"/>
  <c r="G61" i="18"/>
  <c r="G62" i="18"/>
  <c r="G63" i="18"/>
  <c r="G65" i="18"/>
  <c r="G66" i="18"/>
  <c r="G67" i="18"/>
  <c r="G68" i="18"/>
  <c r="G69" i="18"/>
  <c r="G70" i="18"/>
  <c r="G71" i="18"/>
  <c r="G72" i="18"/>
  <c r="G73" i="18"/>
  <c r="G74" i="18"/>
  <c r="E40" i="19"/>
  <c r="C39" i="19"/>
  <c r="D39" i="19"/>
  <c r="E39" i="19" s="1"/>
  <c r="D28" i="19"/>
  <c r="B82" i="18" s="1"/>
  <c r="C24" i="19"/>
  <c r="E9" i="19" s="1"/>
  <c r="C26" i="19"/>
  <c r="D26" i="19" s="1"/>
  <c r="B80" i="18" s="1"/>
  <c r="D11" i="19"/>
  <c r="D20" i="19" s="1"/>
  <c r="I9" i="19"/>
  <c r="I10" i="19" s="1"/>
  <c r="Q6" i="18"/>
  <c r="P6" i="18"/>
  <c r="L7" i="18"/>
  <c r="A11" i="18"/>
  <c r="I7" i="18"/>
  <c r="AG744" i="18"/>
  <c r="AH744" i="18" s="1"/>
  <c r="AG743" i="18"/>
  <c r="AH743" i="18" s="1"/>
  <c r="AG742" i="18"/>
  <c r="AH742" i="18"/>
  <c r="AH741" i="18"/>
  <c r="AH740" i="18"/>
  <c r="AH739" i="18"/>
  <c r="AH738" i="18"/>
  <c r="AH737" i="18"/>
  <c r="AH736" i="18"/>
  <c r="AG735" i="18"/>
  <c r="AH735" i="18"/>
  <c r="AH6" i="18"/>
  <c r="C59" i="18"/>
  <c r="H59" i="18"/>
  <c r="B59" i="18"/>
  <c r="C21" i="18"/>
  <c r="C20" i="18"/>
  <c r="K7" i="18"/>
  <c r="AJ6" i="18"/>
  <c r="AI6" i="18"/>
  <c r="AD6" i="18"/>
  <c r="K6" i="18"/>
  <c r="D21" i="19"/>
  <c r="D15" i="19"/>
  <c r="AF6" i="18"/>
  <c r="G76" i="18"/>
  <c r="AG6" i="18"/>
  <c r="G77" i="18"/>
  <c r="AE6" i="18"/>
  <c r="G75" i="18"/>
  <c r="D17" i="19"/>
  <c r="D16" i="19"/>
  <c r="B72" i="18"/>
  <c r="B73" i="18"/>
  <c r="D28" i="22" l="1"/>
  <c r="B16" i="28"/>
  <c r="E10" i="28"/>
  <c r="H18" i="18"/>
  <c r="B61" i="18"/>
  <c r="B26" i="19"/>
  <c r="E26" i="19" s="1"/>
  <c r="C80" i="18" s="1"/>
  <c r="AE7" i="18" s="1"/>
  <c r="AG7" i="18"/>
  <c r="H77" i="18"/>
  <c r="I11" i="19"/>
  <c r="D19" i="19"/>
  <c r="D18" i="19"/>
  <c r="N7" i="22"/>
  <c r="P7" i="22" s="1"/>
  <c r="N5" i="22"/>
  <c r="P5" i="22" s="1"/>
  <c r="N6" i="22"/>
  <c r="P6" i="22" s="1"/>
  <c r="P22" i="22"/>
  <c r="E28" i="22"/>
  <c r="AA8" i="22"/>
  <c r="AC7" i="22" s="1"/>
  <c r="AD7" i="22" s="1"/>
  <c r="L13" i="22"/>
  <c r="D30" i="22"/>
  <c r="P12" i="22"/>
  <c r="E30" i="22" s="1"/>
  <c r="G13" i="22"/>
  <c r="G11" i="22"/>
  <c r="L11" i="22" s="1"/>
  <c r="AA6" i="22"/>
  <c r="AC5" i="22" s="1"/>
  <c r="N22" i="22"/>
  <c r="P20" i="22"/>
  <c r="E32" i="22" s="1"/>
  <c r="L8" i="22"/>
  <c r="H46" i="18"/>
  <c r="C71" i="18" s="1"/>
  <c r="B62" i="18"/>
  <c r="H20" i="18"/>
  <c r="H36" i="18"/>
  <c r="C67" i="18" s="1"/>
  <c r="B67" i="18"/>
  <c r="R7" i="18"/>
  <c r="H65" i="18"/>
  <c r="C68" i="18"/>
  <c r="H72" i="18"/>
  <c r="X7" i="18"/>
  <c r="AA7" i="18"/>
  <c r="H45" i="18"/>
  <c r="C70" i="18" s="1"/>
  <c r="B70" i="18"/>
  <c r="W7" i="18"/>
  <c r="H71" i="18"/>
  <c r="H42" i="18"/>
  <c r="C69" i="18" s="1"/>
  <c r="B69" i="18"/>
  <c r="B66" i="18"/>
  <c r="H33" i="18"/>
  <c r="C66" i="18" s="1"/>
  <c r="B64" i="18"/>
  <c r="C64" i="18"/>
  <c r="B74" i="18"/>
  <c r="H49" i="18"/>
  <c r="C74" i="18" s="1"/>
  <c r="C63" i="18"/>
  <c r="B63" i="18"/>
  <c r="F54" i="18"/>
  <c r="B65" i="18"/>
  <c r="C60" i="18"/>
  <c r="G54" i="18"/>
  <c r="B68" i="18"/>
  <c r="B60" i="18"/>
  <c r="E42" i="19"/>
  <c r="G41" i="19" s="1"/>
  <c r="D32" i="22"/>
  <c r="E16" i="28" l="1"/>
  <c r="B27" i="28"/>
  <c r="B28" i="28" s="1"/>
  <c r="B29" i="28" s="1"/>
  <c r="C61" i="18"/>
  <c r="H61" i="18" s="1"/>
  <c r="H75" i="18"/>
  <c r="G13" i="19"/>
  <c r="I15" i="19"/>
  <c r="N8" i="22"/>
  <c r="D27" i="22"/>
  <c r="H11" i="22"/>
  <c r="AD5" i="22"/>
  <c r="H13" i="22"/>
  <c r="E27" i="22"/>
  <c r="P8" i="22"/>
  <c r="B30" i="28"/>
  <c r="C62" i="18"/>
  <c r="C86" i="18" s="1"/>
  <c r="H54" i="18"/>
  <c r="I54" i="18" s="1"/>
  <c r="H74" i="18"/>
  <c r="Z7" i="18"/>
  <c r="H64" i="18"/>
  <c r="Q7" i="18"/>
  <c r="H60" i="18"/>
  <c r="M7" i="18"/>
  <c r="S7" i="18"/>
  <c r="H66" i="18"/>
  <c r="H70" i="18"/>
  <c r="Y7" i="18"/>
  <c r="H67" i="18"/>
  <c r="U7" i="18"/>
  <c r="A10" i="19"/>
  <c r="B86" i="18"/>
  <c r="B76" i="18"/>
  <c r="P7" i="18"/>
  <c r="H63" i="18"/>
  <c r="H69" i="18"/>
  <c r="V7" i="18"/>
  <c r="H68" i="18"/>
  <c r="T7" i="18"/>
  <c r="H62" i="18" l="1"/>
  <c r="N7" i="18"/>
  <c r="J15" i="19"/>
  <c r="J16" i="19" s="1"/>
  <c r="J17" i="19" s="1"/>
  <c r="J18" i="19" s="1"/>
  <c r="J19" i="19" s="1"/>
  <c r="J20" i="19" s="1"/>
  <c r="J21" i="19" s="1"/>
  <c r="I16" i="19"/>
  <c r="I17" i="19" s="1"/>
  <c r="I18" i="19" s="1"/>
  <c r="I19" i="19" s="1"/>
  <c r="I20" i="19" s="1"/>
  <c r="I21" i="19" s="1"/>
  <c r="G17" i="19"/>
  <c r="G18" i="19"/>
  <c r="G15" i="19"/>
  <c r="G19" i="19"/>
  <c r="G16" i="19"/>
  <c r="G21" i="19"/>
  <c r="G20" i="19"/>
  <c r="I11" i="22"/>
  <c r="J11" i="22" s="1"/>
  <c r="K11" i="22" s="1"/>
  <c r="N11" i="22"/>
  <c r="I13" i="22"/>
  <c r="J13" i="22" s="1"/>
  <c r="K13" i="22" s="1"/>
  <c r="N13" i="22"/>
  <c r="P13" i="22" s="1"/>
  <c r="E9" i="18"/>
  <c r="O7" i="18"/>
  <c r="AD7" i="18" s="1"/>
  <c r="AK7" i="18" s="1"/>
  <c r="AK9" i="18" s="1"/>
  <c r="C76" i="18"/>
  <c r="B31" i="28"/>
  <c r="E15" i="19" l="1"/>
  <c r="H15" i="19"/>
  <c r="G22" i="19"/>
  <c r="B27" i="19" s="1"/>
  <c r="C27" i="19" s="1"/>
  <c r="E32" i="19" s="1"/>
  <c r="E33" i="19" s="1"/>
  <c r="H16" i="19"/>
  <c r="E16" i="19"/>
  <c r="F16" i="19" s="1"/>
  <c r="E18" i="19"/>
  <c r="F18" i="19" s="1"/>
  <c r="H18" i="19"/>
  <c r="H19" i="19"/>
  <c r="E19" i="19"/>
  <c r="F19" i="19" s="1"/>
  <c r="H17" i="19"/>
  <c r="E17" i="19"/>
  <c r="F17" i="19" s="1"/>
  <c r="H21" i="19"/>
  <c r="E21" i="19"/>
  <c r="F21" i="19" s="1"/>
  <c r="H20" i="19"/>
  <c r="E20" i="19"/>
  <c r="F20" i="19" s="1"/>
  <c r="D29" i="22"/>
  <c r="P11" i="22"/>
  <c r="F11" i="19" l="1"/>
  <c r="G11" i="19" s="1"/>
  <c r="E27" i="19"/>
  <c r="C81" i="18" s="1"/>
  <c r="H22" i="19"/>
  <c r="F24" i="19"/>
  <c r="F15" i="19"/>
  <c r="E29" i="22"/>
  <c r="N21" i="22"/>
  <c r="N17" i="22"/>
  <c r="D27" i="19"/>
  <c r="H76" i="18" l="1"/>
  <c r="AF7" i="18"/>
  <c r="B29" i="19"/>
  <c r="B22" i="19"/>
  <c r="P21" i="22"/>
  <c r="P17" i="22"/>
  <c r="AM7" i="18"/>
  <c r="AM9" i="18" s="1"/>
  <c r="F30" i="22"/>
  <c r="B81" i="18"/>
  <c r="B30" i="19" l="1"/>
  <c r="C29" i="19"/>
  <c r="E29" i="19"/>
  <c r="C83" i="18" l="1"/>
  <c r="E30" i="19"/>
  <c r="N19" i="22" s="1"/>
  <c r="D29" i="19"/>
  <c r="D30" i="19" s="1"/>
  <c r="C30" i="19"/>
  <c r="D31" i="22" l="1"/>
  <c r="D34" i="22" s="1"/>
  <c r="P19" i="22"/>
  <c r="N23" i="22"/>
  <c r="L24" i="22" s="1"/>
  <c r="B83" i="18"/>
  <c r="H78" i="18"/>
  <c r="H81" i="18" s="1"/>
  <c r="AH7" i="18"/>
  <c r="AI7" i="18" s="1"/>
  <c r="C87" i="18"/>
  <c r="C85" i="18" s="1"/>
  <c r="G83" i="18" s="1"/>
  <c r="AL7" i="18" l="1"/>
  <c r="AJ7" i="18"/>
  <c r="B85" i="18"/>
  <c r="B87" i="18"/>
  <c r="E31" i="22"/>
  <c r="E34" i="22" s="1"/>
  <c r="C25" i="22" s="1"/>
  <c r="P23" i="22"/>
  <c r="L25" i="22" s="1"/>
  <c r="E10" i="18"/>
  <c r="A10" i="18"/>
  <c r="L26" i="22"/>
  <c r="C24" i="22"/>
  <c r="AL9" i="18" l="1"/>
  <c r="AN9" i="18" s="1"/>
  <c r="AN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Salva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 potencia Nominal es la que está indicada en el equipo. Si no puede medirla, este valor se puede tomar como indicativo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Duracion en Horas del ciclo de lavado
</t>
        </r>
      </text>
    </comment>
    <comment ref="F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Este sería el consumo por ciclo de labado.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sgil</author>
    <author>Salva</author>
  </authors>
  <commentList>
    <comment ref="I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dato deve ser entrado manuamente, promediendo los consumo de los verenos</t>
        </r>
      </text>
    </comment>
    <comment ref="E1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Salva:</t>
        </r>
        <r>
          <rPr>
            <sz val="9"/>
            <color indexed="81"/>
            <rFont val="Tahoma"/>
            <family val="2"/>
          </rPr>
          <t xml:space="preserve">
Viene de Celda I9
</t>
        </r>
      </text>
    </comment>
  </commentList>
</comments>
</file>

<file path=xl/sharedStrings.xml><?xml version="1.0" encoding="utf-8"?>
<sst xmlns="http://schemas.openxmlformats.org/spreadsheetml/2006/main" count="1025" uniqueCount="631">
  <si>
    <t>Lavarropa</t>
  </si>
  <si>
    <t>Plancha</t>
  </si>
  <si>
    <t>Secador Pelo</t>
  </si>
  <si>
    <t>Cafetera</t>
  </si>
  <si>
    <t>Heladera</t>
  </si>
  <si>
    <t>Microonda</t>
  </si>
  <si>
    <t>otros</t>
  </si>
  <si>
    <t>Stand By</t>
  </si>
  <si>
    <t>Planchado</t>
  </si>
  <si>
    <t>Iluminacion</t>
  </si>
  <si>
    <t xml:space="preserve">Autor o Resposable: </t>
  </si>
  <si>
    <t>Informatica</t>
  </si>
  <si>
    <t># Persona</t>
  </si>
  <si>
    <t>TV+Radio+Electr.</t>
  </si>
  <si>
    <t>Total (kWh/Año)</t>
  </si>
  <si>
    <t>TV+Radio+DVD</t>
  </si>
  <si>
    <t>Piloto</t>
  </si>
  <si>
    <t>m3/año</t>
  </si>
  <si>
    <t>Todo Electicidad</t>
  </si>
  <si>
    <t>Total Gas</t>
  </si>
  <si>
    <t>Cocción</t>
  </si>
  <si>
    <t>CAS</t>
  </si>
  <si>
    <t>Calefacción</t>
  </si>
  <si>
    <t>Gas</t>
  </si>
  <si>
    <t>Electricidad</t>
  </si>
  <si>
    <t>Cafetera+Tostadora + batidora</t>
  </si>
  <si>
    <t>Otros</t>
  </si>
  <si>
    <t>Microondas</t>
  </si>
  <si>
    <t>ACS</t>
  </si>
  <si>
    <t>Total</t>
  </si>
  <si>
    <t>TOTAL_GAS</t>
  </si>
  <si>
    <t>kWh</t>
  </si>
  <si>
    <t>Total_Grl (m3/año)</t>
  </si>
  <si>
    <t>Equivalencia</t>
  </si>
  <si>
    <t>1 m3 (GN)</t>
  </si>
  <si>
    <t xml:space="preserve">Kwh </t>
  </si>
  <si>
    <t>CABA</t>
  </si>
  <si>
    <t>kWh/año</t>
  </si>
  <si>
    <t>m3/día</t>
  </si>
  <si>
    <t>Promedio</t>
  </si>
  <si>
    <t>Sup (m2)</t>
  </si>
  <si>
    <t>HornoE</t>
  </si>
  <si>
    <t>Bomba</t>
  </si>
  <si>
    <t>AA-Refrigeración</t>
  </si>
  <si>
    <t>Por favor llenar solo  los casilleros en Azul con fondo Verde</t>
  </si>
  <si>
    <t>Auditoria de Consumo</t>
  </si>
  <si>
    <t>Superficie Cubierta (m2)</t>
  </si>
  <si>
    <t>Las celdas con este color se puede modificar</t>
  </si>
  <si>
    <t>e:mail:</t>
  </si>
  <si>
    <t>Número de personas en la Vivienda</t>
  </si>
  <si>
    <t>Las otras NO las modifique por favor</t>
  </si>
  <si>
    <t>Fecha de ensayo:</t>
  </si>
  <si>
    <t>Dieccion</t>
  </si>
  <si>
    <t>Italia xxx</t>
  </si>
  <si>
    <t>Tipo de vivienda</t>
  </si>
  <si>
    <t>Dpto</t>
  </si>
  <si>
    <t>Casa/Dpto</t>
  </si>
  <si>
    <t>Localidad:</t>
  </si>
  <si>
    <t>[W]</t>
  </si>
  <si>
    <t>[h]</t>
  </si>
  <si>
    <t>[Wh]</t>
  </si>
  <si>
    <t>[kWh]</t>
  </si>
  <si>
    <t>Caracteristicas</t>
  </si>
  <si>
    <t>Potencia Nominal unitaria</t>
  </si>
  <si>
    <t>Pot_medida unitario</t>
  </si>
  <si>
    <t>hs_Uso/dia</t>
  </si>
  <si>
    <t>Consumo diario</t>
  </si>
  <si>
    <t>Consumo Annual [kWh]</t>
  </si>
  <si>
    <t>Comentarios</t>
  </si>
  <si>
    <t>Artefacto</t>
  </si>
  <si>
    <t>Marca y Clase</t>
  </si>
  <si>
    <t>Acme 1</t>
  </si>
  <si>
    <t>Acme 2</t>
  </si>
  <si>
    <t xml:space="preserve">Luces principles </t>
  </si>
  <si>
    <t>Las que más frecuentemente se encienden</t>
  </si>
  <si>
    <t>Luces ocacionales</t>
  </si>
  <si>
    <t>Encendido Ocacional</t>
  </si>
  <si>
    <t>Ventilador Techo  o Pie</t>
  </si>
  <si>
    <t>Tostador</t>
  </si>
  <si>
    <t>Batidora</t>
  </si>
  <si>
    <t>PC ´s (monit+CPU)</t>
  </si>
  <si>
    <t>Laptop</t>
  </si>
  <si>
    <t>Impresoras</t>
  </si>
  <si>
    <t>Laser HP1022</t>
  </si>
  <si>
    <t>WiFi +Router</t>
  </si>
  <si>
    <t>Radio</t>
  </si>
  <si>
    <t xml:space="preserve">TV </t>
  </si>
  <si>
    <t>LG (LED 35")</t>
  </si>
  <si>
    <t>TV Stand By</t>
  </si>
  <si>
    <t xml:space="preserve"> (LED 35") </t>
  </si>
  <si>
    <t xml:space="preserve">DVD </t>
  </si>
  <si>
    <t>(panasonic S 700)</t>
  </si>
  <si>
    <t>Stand By Teléfono</t>
  </si>
  <si>
    <t>TV-Cable  (modulo)</t>
  </si>
  <si>
    <t>Bomba Agua</t>
  </si>
  <si>
    <t>Horno Electrico</t>
  </si>
  <si>
    <t>Otros 1</t>
  </si>
  <si>
    <t>Otros 2</t>
  </si>
  <si>
    <t>Total - auditoria</t>
  </si>
  <si>
    <t>Diferencia</t>
  </si>
  <si>
    <t>Todos los consumo electrico - Medición</t>
  </si>
  <si>
    <t>Total - Facturación</t>
  </si>
  <si>
    <t>Según Factura Luz</t>
  </si>
  <si>
    <t>Aterfacto</t>
  </si>
  <si>
    <t>Horno Electr.</t>
  </si>
  <si>
    <t>Consumo Totales Gas+Electricidad</t>
  </si>
  <si>
    <t>medida kW</t>
  </si>
  <si>
    <t>medida W</t>
  </si>
  <si>
    <t>Heladera A</t>
  </si>
  <si>
    <t>Heladera  B</t>
  </si>
  <si>
    <t>Stand By otros</t>
  </si>
  <si>
    <t>Resumen eléctrico</t>
  </si>
  <si>
    <t>TOTAL</t>
  </si>
  <si>
    <t>Resumen GAS</t>
  </si>
  <si>
    <t>Horno Eléctrico</t>
  </si>
  <si>
    <t>ELECTRICIDAD</t>
  </si>
  <si>
    <t>GAS</t>
  </si>
  <si>
    <t>JB</t>
  </si>
  <si>
    <t>XXX</t>
  </si>
  <si>
    <t>Duracion del Invierno (días)</t>
  </si>
  <si>
    <t>Estufas (pot. Media Totasl)</t>
  </si>
  <si>
    <t>cocc.+ACS+Pil.</t>
  </si>
  <si>
    <t>Calef.</t>
  </si>
  <si>
    <t>Horas de uso</t>
  </si>
  <si>
    <t>Bimestre</t>
  </si>
  <si>
    <t>Base=</t>
  </si>
  <si>
    <t>diario</t>
  </si>
  <si>
    <t>base (diario)</t>
  </si>
  <si>
    <t>Calefacción (m3/día)</t>
  </si>
  <si>
    <t>base (bim)</t>
  </si>
  <si>
    <t>Calefacción (Bim)</t>
  </si>
  <si>
    <t>Base(Nominal)</t>
  </si>
  <si>
    <t>Base Nominal)</t>
  </si>
  <si>
    <t>ener-febr</t>
  </si>
  <si>
    <t>Mar-Abr</t>
  </si>
  <si>
    <t>Mayo-Jun</t>
  </si>
  <si>
    <t>Jul-Agos</t>
  </si>
  <si>
    <t>Sept-Oct</t>
  </si>
  <si>
    <t>Nov-Dic</t>
  </si>
  <si>
    <t>Total Anual</t>
  </si>
  <si>
    <t>base-piloto=</t>
  </si>
  <si>
    <t>kWh /dia</t>
  </si>
  <si>
    <t>kWh/Año</t>
  </si>
  <si>
    <t>años</t>
  </si>
  <si>
    <t>km/mes</t>
  </si>
  <si>
    <t>lit/mes</t>
  </si>
  <si>
    <t>kWh/mes</t>
  </si>
  <si>
    <t>Transporte</t>
  </si>
  <si>
    <t>Auditoría de Gas</t>
  </si>
  <si>
    <t>(kCal/h)</t>
  </si>
  <si>
    <t>(m3/bimestre)</t>
  </si>
  <si>
    <t>Dias en un bimestre</t>
  </si>
  <si>
    <t>TOTALES</t>
  </si>
  <si>
    <t>Diario</t>
  </si>
  <si>
    <t>Anual</t>
  </si>
  <si>
    <t xml:space="preserve">Consumos Electricos </t>
  </si>
  <si>
    <t>Casa</t>
  </si>
  <si>
    <t>Calef. GAS</t>
  </si>
  <si>
    <t>Calef. Electricidad</t>
  </si>
  <si>
    <t>Estos casilleros son opcionales</t>
  </si>
  <si>
    <t>Su sistema de calentamieto de agua tiene Piloto? Cuantos?</t>
  </si>
  <si>
    <t>Wh</t>
  </si>
  <si>
    <t>Wh/día</t>
  </si>
  <si>
    <t>Eficiente</t>
  </si>
  <si>
    <t>Refrigeración Aire Acond.</t>
  </si>
  <si>
    <t>Calefacción Electr.</t>
  </si>
  <si>
    <t>Ref:</t>
  </si>
  <si>
    <t>su Nombre</t>
  </si>
  <si>
    <t>mail@unsam.edu.ar</t>
  </si>
  <si>
    <t xml:space="preserve">No Modificar esta parte </t>
  </si>
  <si>
    <t>Extras</t>
  </si>
  <si>
    <t>Antiguedad Años</t>
  </si>
  <si>
    <t>Antiguedad?</t>
  </si>
  <si>
    <t>Cosumos estimados</t>
  </si>
  <si>
    <t>Si/No</t>
  </si>
  <si>
    <t>Consumos medidos</t>
  </si>
  <si>
    <t>Si/NO</t>
  </si>
  <si>
    <t>Efic=</t>
  </si>
  <si>
    <t>Litros de Agua Caliente Total=</t>
  </si>
  <si>
    <t>DT=</t>
  </si>
  <si>
    <t>Litros de Agua Caliente/Pers=</t>
  </si>
  <si>
    <t xml:space="preserve">USO de ACS </t>
  </si>
  <si>
    <t>Estufas Electricas 1</t>
  </si>
  <si>
    <t>Estufas Electricas 2</t>
  </si>
  <si>
    <t>Aire Acondicionado 1</t>
  </si>
  <si>
    <t>Aire Acondicionado 2</t>
  </si>
  <si>
    <t>Aire Acondicionado 3</t>
  </si>
  <si>
    <t>Su Lugar</t>
  </si>
  <si>
    <t>EPA</t>
  </si>
  <si>
    <t>https://greengroundswell.com/epa-clean-power-plan-existing-power-plant-co2-emissions/2014/10/16/</t>
  </si>
  <si>
    <t>g(CO2)/kWh</t>
  </si>
  <si>
    <t>https://es.wikipedia.org/wiki/Colectivos_de_Buenos_Aires</t>
  </si>
  <si>
    <t>Buses CABA</t>
  </si>
  <si>
    <t>https://www.infobae.com/2007/08/28/334279-el-tope-gente-que-puede-viajar-parada-colectivo/</t>
  </si>
  <si>
    <t>Automoviles</t>
  </si>
  <si>
    <t>km/vacaciones</t>
  </si>
  <si>
    <t>km/año</t>
  </si>
  <si>
    <t>km/l</t>
  </si>
  <si>
    <t>kWh/km</t>
  </si>
  <si>
    <t>J/m/pers</t>
  </si>
  <si>
    <t>litro/año</t>
  </si>
  <si>
    <t>kg(CO2)/kWh</t>
  </si>
  <si>
    <t>kg(CO2)/año</t>
  </si>
  <si>
    <t>km/hora</t>
  </si>
  <si>
    <t>GLP</t>
  </si>
  <si>
    <t>30 litros de gasoil cada 100 kilometros</t>
  </si>
  <si>
    <t>Eficacia</t>
  </si>
  <si>
    <t>Wh/km/pers</t>
  </si>
  <si>
    <t>g(CO2)/km</t>
  </si>
  <si>
    <t>Auto1</t>
  </si>
  <si>
    <t>Automivil</t>
  </si>
  <si>
    <t>Gasolina</t>
  </si>
  <si>
    <t>km/litro</t>
  </si>
  <si>
    <t>Pasajeros/Bus</t>
  </si>
  <si>
    <t>Auto2</t>
  </si>
  <si>
    <t>Biodiesel</t>
  </si>
  <si>
    <t>Por pasajero</t>
  </si>
  <si>
    <t>Auto3</t>
  </si>
  <si>
    <t>Kerosene</t>
  </si>
  <si>
    <t>SubTotal</t>
  </si>
  <si>
    <t>Petróleo</t>
  </si>
  <si>
    <t>Avion</t>
  </si>
  <si>
    <t>Gasoil</t>
  </si>
  <si>
    <t>https://en.wikipedia.org/wiki/Energy_efficiency_in_transport</t>
  </si>
  <si>
    <t>Horas/semana</t>
  </si>
  <si>
    <t>e of transport</t>
  </si>
  <si>
    <t>Energy Efficiency</t>
  </si>
  <si>
    <t>Energy consumption</t>
  </si>
  <si>
    <t>Average number of passengers per vehicle</t>
  </si>
  <si>
    <t>Colectivos</t>
  </si>
  <si>
    <t>Bus</t>
  </si>
  <si>
    <t>Leña</t>
  </si>
  <si>
    <t>mpg(US) of petrol</t>
  </si>
  <si>
    <t>mpg(imp) of petrol</t>
  </si>
  <si>
    <t>km/L of petrol</t>
  </si>
  <si>
    <t>km/MJ</t>
  </si>
  <si>
    <t>W/km</t>
  </si>
  <si>
    <t>m/J</t>
  </si>
  <si>
    <t>L(petrol)/ 100 km</t>
  </si>
  <si>
    <t>kWh/100 km</t>
  </si>
  <si>
    <t>Cal/km</t>
  </si>
  <si>
    <t>MJ/100 km</t>
  </si>
  <si>
    <t>J/m</t>
  </si>
  <si>
    <t>(m·pax)/J</t>
  </si>
  <si>
    <t>J/(m·pax)</t>
  </si>
  <si>
    <t>W/km/pas</t>
  </si>
  <si>
    <t>Tren_EE</t>
  </si>
  <si>
    <t>Tren</t>
  </si>
  <si>
    <t>Factores de comparación energéticos Factores de corrección de eficiencia para distintos insumos energéticos en Argentina, de P. Sinsini, J. Fiora, L. Iannelli y S.Gil- Revista Energías Renovables y Medio Ambiente, ASADES, Vol. 42, pp. 1 - 13, 2018 ISSN 0328-932X</t>
  </si>
  <si>
    <t>W/km/Pers</t>
  </si>
  <si>
    <t>J/m/pas</t>
  </si>
  <si>
    <t>Human propelled</t>
  </si>
  <si>
    <t>Buses InterUrb</t>
  </si>
  <si>
    <t>Velomovil</t>
  </si>
  <si>
    <t>caminar</t>
  </si>
  <si>
    <t>Walking</t>
  </si>
  <si>
    <t>52,58[17]</t>
  </si>
  <si>
    <t>Emisiones</t>
  </si>
  <si>
    <t>Daniel Bortolin</t>
  </si>
  <si>
    <t>jun.2020</t>
  </si>
  <si>
    <t>J/m/per</t>
  </si>
  <si>
    <t>MJ/km</t>
  </si>
  <si>
    <t>kWh/km/pers</t>
  </si>
  <si>
    <t>Bicy</t>
  </si>
  <si>
    <t>MJ/km/pasaj</t>
  </si>
  <si>
    <t>Wh/km/Pasaj.</t>
  </si>
  <si>
    <t>car</t>
  </si>
  <si>
    <t>bus</t>
  </si>
  <si>
    <t>tram</t>
  </si>
  <si>
    <t>Auto</t>
  </si>
  <si>
    <t>MWh/año</t>
  </si>
  <si>
    <t>Tn(CO2/año)</t>
  </si>
  <si>
    <t>Subte</t>
  </si>
  <si>
    <t>metro</t>
  </si>
  <si>
    <t>Transp.Auto</t>
  </si>
  <si>
    <t>local Train</t>
  </si>
  <si>
    <t>Tranp. Aereo</t>
  </si>
  <si>
    <t>Expre Trein</t>
  </si>
  <si>
    <t>Tranp. Bus</t>
  </si>
  <si>
    <t>Aeroplane</t>
  </si>
  <si>
    <t>Tranp. Tren</t>
  </si>
  <si>
    <t>Ferry</t>
  </si>
  <si>
    <t>kg(CO2)/km</t>
  </si>
  <si>
    <t>Electr.</t>
  </si>
  <si>
    <t>EE_Scoot</t>
  </si>
  <si>
    <t>EE_Tren</t>
  </si>
  <si>
    <t>Tranvia</t>
  </si>
  <si>
    <t>EE_Bus</t>
  </si>
  <si>
    <t>EE_Auto</t>
  </si>
  <si>
    <t>Maglev_Tren</t>
  </si>
  <si>
    <t>Auto conv.</t>
  </si>
  <si>
    <t>Avión</t>
  </si>
  <si>
    <t>Auto Sport</t>
  </si>
  <si>
    <t>Consumos por rubro</t>
  </si>
  <si>
    <t>Consumos por Equipo</t>
  </si>
  <si>
    <t>Consumo por horas de uso</t>
  </si>
  <si>
    <t>Consumo por dia y prestación</t>
  </si>
  <si>
    <t>Valores de referencia con una incerteza del 20%</t>
  </si>
  <si>
    <t xml:space="preserve"> incerteza     20%</t>
  </si>
  <si>
    <t>Categoria general</t>
  </si>
  <si>
    <t>Potencia (W)</t>
  </si>
  <si>
    <t>Horas/día</t>
  </si>
  <si>
    <t>Consumo Diario</t>
  </si>
  <si>
    <t>Consumo Annual</t>
  </si>
  <si>
    <t>Primer Cuart</t>
  </si>
  <si>
    <t>Seg. Cuart</t>
  </si>
  <si>
    <t>Terc. Cuart</t>
  </si>
  <si>
    <t>Cuart. Cuart</t>
  </si>
  <si>
    <t>TV(LED y LSD)</t>
  </si>
  <si>
    <t>TV (Tubos)</t>
  </si>
  <si>
    <t>Heladeras ( Mas de 20 años)</t>
  </si>
  <si>
    <t>Heladeras ( Mas de10 años)</t>
  </si>
  <si>
    <t>Ilumin.</t>
  </si>
  <si>
    <t>Ahorros Agua</t>
  </si>
  <si>
    <t>Heladeras ( Mas de 5 años)</t>
  </si>
  <si>
    <t>ACS_E (calefon)</t>
  </si>
  <si>
    <t>Heladeras C</t>
  </si>
  <si>
    <t>Cale.E.</t>
  </si>
  <si>
    <t>Heladeras B</t>
  </si>
  <si>
    <t>Inform.</t>
  </si>
  <si>
    <t>TV y Video</t>
  </si>
  <si>
    <t>Consumo Por añoo (Wh)</t>
  </si>
  <si>
    <t>Heladeras A</t>
  </si>
  <si>
    <t>Reproductor de video</t>
  </si>
  <si>
    <t>Heladeras A++ (Invert)</t>
  </si>
  <si>
    <t>Televisor color 14" Válvula</t>
  </si>
  <si>
    <t>Televisor color 20"  Válvula</t>
  </si>
  <si>
    <t>Televisor color 27"  Válvula</t>
  </si>
  <si>
    <t>Televisor color 32" LD</t>
  </si>
  <si>
    <t>Televisor color 40" LED</t>
  </si>
  <si>
    <t>Audio  25 W</t>
  </si>
  <si>
    <t>Audio  10 W</t>
  </si>
  <si>
    <t>Secador P.</t>
  </si>
  <si>
    <t>P(W)</t>
  </si>
  <si>
    <t>hs/dia</t>
  </si>
  <si>
    <t>kWh/dia</t>
  </si>
  <si>
    <t>Equipo de TV por cable</t>
  </si>
  <si>
    <t>ACS_E (Termotanq)</t>
  </si>
  <si>
    <t>Reproductor de DVD</t>
  </si>
  <si>
    <t>TV – LCD 32</t>
  </si>
  <si>
    <t>TV(LED  32) A</t>
  </si>
  <si>
    <t>TV – Plasma  32</t>
  </si>
  <si>
    <t>TV (Valvulas 32")</t>
  </si>
  <si>
    <t>TV – LCD 40</t>
  </si>
  <si>
    <t>TV – LED 40</t>
  </si>
  <si>
    <t>TV – Valvula  32</t>
  </si>
  <si>
    <t>Frío | Calor</t>
  </si>
  <si>
    <t>Extra</t>
  </si>
  <si>
    <t>Promedio (KWh)</t>
  </si>
  <si>
    <t>Eficiente (kWh)</t>
  </si>
  <si>
    <t>Aire Acondicionado (2200 frigorías)</t>
  </si>
  <si>
    <t>Aire Acondicionado (2200 frigorías) A+</t>
  </si>
  <si>
    <t>Aire Acondicionado (3200 frigorías) A</t>
  </si>
  <si>
    <t>Aire Acondicionado (4200 frigorías) A</t>
  </si>
  <si>
    <t>Estufa de cuarzo (2 velas)</t>
  </si>
  <si>
    <t>Radiador elécrtico</t>
  </si>
  <si>
    <t>Turbo Calefactor (2000 calorías)</t>
  </si>
  <si>
    <t>Turbo ventilador</t>
  </si>
  <si>
    <t>Ventilador Común</t>
  </si>
  <si>
    <t>Electico</t>
  </si>
  <si>
    <t>Ventilador de Techo</t>
  </si>
  <si>
    <t>Artefacto del Hogar</t>
  </si>
  <si>
    <t>Consumo Por Ciclo (Wh)</t>
  </si>
  <si>
    <t>Lavarropa Autom. A+ (Electrolux)</t>
  </si>
  <si>
    <t>Lav+B182:C217arropas automático</t>
  </si>
  <si>
    <t>Lavarropas autom. con calentamiento de agua</t>
  </si>
  <si>
    <t>Lavarropas semiautomático</t>
  </si>
  <si>
    <t>Secarropas centrífugo</t>
  </si>
  <si>
    <t>Termotanque Electrico</t>
  </si>
  <si>
    <t>Freezer</t>
  </si>
  <si>
    <t>Heladera con freezer A</t>
  </si>
  <si>
    <t>Heladera A++</t>
  </si>
  <si>
    <t>Heladera con freezer A++</t>
  </si>
  <si>
    <t>Horno microondas</t>
  </si>
  <si>
    <t>Horno eléctrico</t>
  </si>
  <si>
    <t>Pequeños electrodomésticos</t>
  </si>
  <si>
    <t>Licuadora</t>
  </si>
  <si>
    <t>Lustraspiradora</t>
  </si>
  <si>
    <t>Máquina de coser</t>
  </si>
  <si>
    <t>Multiprocesadora</t>
  </si>
  <si>
    <t>Purificador de aire</t>
  </si>
  <si>
    <t>Secador de pelo</t>
  </si>
  <si>
    <t>Aspiradora</t>
  </si>
  <si>
    <t>Cortadora de Césped</t>
  </si>
  <si>
    <t>Extractor de aire</t>
  </si>
  <si>
    <t>Freidora</t>
  </si>
  <si>
    <t>Ducha eléctrica</t>
  </si>
  <si>
    <t>Bombas y motores</t>
  </si>
  <si>
    <t>Bomba de agua 1/2 HP</t>
  </si>
  <si>
    <t>Bomba de agua 3/4 HP</t>
  </si>
  <si>
    <t>Motor de 1 HP</t>
  </si>
  <si>
    <t>Lavandería</t>
  </si>
  <si>
    <t>Secadora de ropa – Eléctrica</t>
  </si>
  <si>
    <t>Secadora de ropa – Gas</t>
  </si>
  <si>
    <t>Lavadora de ropa</t>
  </si>
  <si>
    <t>Aparato</t>
  </si>
  <si>
    <t>Sala</t>
  </si>
  <si>
    <t>Reproductor Blu-ray</t>
  </si>
  <si>
    <t xml:space="preserve">Minicomponente 20 W </t>
  </si>
  <si>
    <t xml:space="preserve">Minicomponente 50 W </t>
  </si>
  <si>
    <t>Antena parabólica</t>
  </si>
  <si>
    <t>Receptor estéreo</t>
  </si>
  <si>
    <t>Consola de videojuegos</t>
  </si>
  <si>
    <t>Luces  e iluminación</t>
  </si>
  <si>
    <t>Bombilla CFL – Equivalente de 40 vatios</t>
  </si>
  <si>
    <t>Bombilla CFL – Equivalente de 60 vatios</t>
  </si>
  <si>
    <t>Bombilla CFL – Equivalente de 75 vatios</t>
  </si>
  <si>
    <t>Bombilla CFL – Equivalente de 100 vatios</t>
  </si>
  <si>
    <t>Fluorescente compacto 30 vatios</t>
  </si>
  <si>
    <t>Fluorescente compacto de 45 vatios</t>
  </si>
  <si>
    <t>Halógeno – 40 vatios</t>
  </si>
  <si>
    <t>Incandescente 50 Watt</t>
  </si>
  <si>
    <t>Incandescente 100 vatios</t>
  </si>
  <si>
    <t>Bombilla LED – Equivalente de 40 vatios</t>
  </si>
  <si>
    <t>Bombilla LED – Equivalente de 60 vatios</t>
  </si>
  <si>
    <t>Bombilla LED – equivalente a 75 vatios</t>
  </si>
  <si>
    <t>Bombilla LED – Equivalente de 100 vatios</t>
  </si>
  <si>
    <t>Oficina</t>
  </si>
  <si>
    <t>Computadora de escritorio (estándar)</t>
  </si>
  <si>
    <t>Computadora de escritorio (juegos)</t>
  </si>
  <si>
    <t>Ordenador portátil (LAPTOP)</t>
  </si>
  <si>
    <t>Monitor LCD</t>
  </si>
  <si>
    <t>Módem</t>
  </si>
  <si>
    <t>Trituradora de papel</t>
  </si>
  <si>
    <t>Impresora</t>
  </si>
  <si>
    <t>Enrutador</t>
  </si>
  <si>
    <t>Teléfono inteligente: recarga</t>
  </si>
  <si>
    <t>Tableta – Recargue</t>
  </si>
  <si>
    <t>Herramientas</t>
  </si>
  <si>
    <t>Sierra de cinta – 14 “</t>
  </si>
  <si>
    <t>Lijadora de banda – 3 “</t>
  </si>
  <si>
    <t>Sierra de cadena – 12 “</t>
  </si>
  <si>
    <t>Sierra Circular – 7-1 / 4 “</t>
  </si>
  <si>
    <t>Sierra circular 8-1 / 4 “</t>
  </si>
  <si>
    <t>Cortadora de disco- 9 “</t>
  </si>
  <si>
    <t>Taladro – 1/4 “</t>
  </si>
  <si>
    <t>Taladro – 1/2 “</t>
  </si>
  <si>
    <t>Taladro – 1 “</t>
  </si>
  <si>
    <t>Motosierra</t>
  </si>
  <si>
    <t>Motoguadaña electrica</t>
  </si>
  <si>
    <t>Transporte Terrestre</t>
  </si>
  <si>
    <t>Total Transporte</t>
  </si>
  <si>
    <t>Trans. Terr.</t>
  </si>
  <si>
    <t>Transp. Aereo</t>
  </si>
  <si>
    <t>Tn(CO2)/año</t>
  </si>
  <si>
    <t>Consumo de Energía=</t>
  </si>
  <si>
    <t>Emisiones de CO2 =</t>
  </si>
  <si>
    <t>Transp</t>
  </si>
  <si>
    <t>km/kWh</t>
  </si>
  <si>
    <t>kWh/l o m3</t>
  </si>
  <si>
    <t>kWh/m3</t>
  </si>
  <si>
    <t>kWh/kg</t>
  </si>
  <si>
    <t>kWh/l</t>
  </si>
  <si>
    <t>Carbón Min.</t>
  </si>
  <si>
    <t>kWh (EE)</t>
  </si>
  <si>
    <t>Petróleo Crudo</t>
  </si>
  <si>
    <t>Aeronaftas</t>
  </si>
  <si>
    <t>Naftas</t>
  </si>
  <si>
    <t>Kerosene y Comb. Jets</t>
  </si>
  <si>
    <t>Gas Oil</t>
  </si>
  <si>
    <t>Diesel Oil</t>
  </si>
  <si>
    <t>Fuel Oil</t>
  </si>
  <si>
    <t>Mezcla 70-30</t>
  </si>
  <si>
    <t>Person/viaje</t>
  </si>
  <si>
    <t>Electricidad RA
 (RA)</t>
  </si>
  <si>
    <t>Gas Nat
Natural</t>
  </si>
  <si>
    <t>Usina CC GN
 (CC)</t>
  </si>
  <si>
    <t>Pasajeros/Bus Urb</t>
  </si>
  <si>
    <t>Pasajeros/Bus InterUr.</t>
  </si>
  <si>
    <t>Bus Urb</t>
  </si>
  <si>
    <t>Bus Inter Urb</t>
  </si>
  <si>
    <t>Reference:</t>
  </si>
  <si>
    <t>Sintesis Final</t>
  </si>
  <si>
    <t>kg(CO2)/MWh</t>
  </si>
  <si>
    <t>Caminar</t>
  </si>
  <si>
    <t>Scooter_EE</t>
  </si>
  <si>
    <t>J/m/person</t>
  </si>
  <si>
    <t>Tranvia_EE</t>
  </si>
  <si>
    <t>Bus_EE</t>
  </si>
  <si>
    <t>Auto_EE</t>
  </si>
  <si>
    <t>Bus_Conv</t>
  </si>
  <si>
    <t>Auto_Conv</t>
  </si>
  <si>
    <t>Aereo</t>
  </si>
  <si>
    <t>Auto_Sport</t>
  </si>
  <si>
    <t>``</t>
  </si>
  <si>
    <t>Medicion</t>
  </si>
  <si>
    <t xml:space="preserve"> Cons. Real=</t>
  </si>
  <si>
    <t>Estufas Electricas 3</t>
  </si>
  <si>
    <t>Estufas Electricas 4</t>
  </si>
  <si>
    <t>Marca, u otro dato útil</t>
  </si>
  <si>
    <t>Consumo de Energía Anual =</t>
  </si>
  <si>
    <t>Tmedia=</t>
  </si>
  <si>
    <t>18 C</t>
  </si>
  <si>
    <t>Medic_2</t>
  </si>
  <si>
    <t xml:space="preserve">  kWh/año</t>
  </si>
  <si>
    <t>Total EE (kWh/Año)</t>
  </si>
  <si>
    <t>Su Consumo</t>
  </si>
  <si>
    <t>Bicy_EE</t>
  </si>
  <si>
    <t>Mini_Car_EE</t>
  </si>
  <si>
    <t>Convencional 
a Gasolina</t>
  </si>
  <si>
    <t>Convencional
 a GNC</t>
  </si>
  <si>
    <t>Vehículos</t>
  </si>
  <si>
    <t>Costo Inic.</t>
  </si>
  <si>
    <t>W2W</t>
  </si>
  <si>
    <t>Combustible</t>
  </si>
  <si>
    <t>Vehículo</t>
  </si>
  <si>
    <t>[Wh/km]</t>
  </si>
  <si>
    <t>[g(CO2)/km]</t>
  </si>
  <si>
    <t>[U$S/año]</t>
  </si>
  <si>
    <t>[USD/100 km]</t>
  </si>
  <si>
    <t>HEV Gasolina</t>
  </si>
  <si>
    <t>HEV GNC</t>
  </si>
  <si>
    <t>BEV_21</t>
  </si>
  <si>
    <t>BEV_27</t>
  </si>
  <si>
    <t>T_Vida(años)</t>
  </si>
  <si>
    <t>N_Personas</t>
  </si>
  <si>
    <t>m_BEV_0</t>
  </si>
  <si>
    <t>m_BEV_1</t>
  </si>
  <si>
    <t>m_BEV_28</t>
  </si>
  <si>
    <t>Moto Conv 150CC</t>
  </si>
  <si>
    <t>Moto EE</t>
  </si>
  <si>
    <t>Bicy Conv</t>
  </si>
  <si>
    <t>Bicy EE</t>
  </si>
  <si>
    <t>Annual</t>
  </si>
  <si>
    <t>18/05</t>
  </si>
  <si>
    <t>18/06</t>
  </si>
  <si>
    <t>19/01</t>
  </si>
  <si>
    <t>19/02</t>
  </si>
  <si>
    <t>19/03</t>
  </si>
  <si>
    <t>19/04</t>
  </si>
  <si>
    <t>19/05</t>
  </si>
  <si>
    <t>Poner Su factura de Electricidad  Aqui</t>
  </si>
  <si>
    <t>Llenar</t>
  </si>
  <si>
    <t>Otros 3 (Termotanque Electr.)</t>
  </si>
  <si>
    <t>Aprobado</t>
  </si>
  <si>
    <t>Termotanque</t>
  </si>
  <si>
    <t>Heldera  A++  Abril 2021</t>
  </si>
  <si>
    <t>Hora</t>
  </si>
  <si>
    <t>ti(d)</t>
  </si>
  <si>
    <t>Ei(Wh)</t>
  </si>
  <si>
    <t>Consumo medio diario=</t>
  </si>
  <si>
    <t>Consumo medio anual=</t>
  </si>
  <si>
    <t>Heladera  A++  Abril 2021</t>
  </si>
  <si>
    <t>Medición (Wh/día)=</t>
  </si>
  <si>
    <t>Fecha</t>
  </si>
  <si>
    <t>Lavavajilla</t>
  </si>
  <si>
    <t>Acme 3</t>
  </si>
  <si>
    <t>Lavarropa (Vaj.)</t>
  </si>
  <si>
    <t>g(CO2)/km/pers</t>
  </si>
  <si>
    <t>Electr. RA</t>
  </si>
  <si>
    <t>Gasoil RA</t>
  </si>
  <si>
    <t>Wh/km/pas</t>
  </si>
  <si>
    <t>g(CO2)/km/pas</t>
  </si>
  <si>
    <t>Valores de Referencia</t>
  </si>
  <si>
    <t>Consumo Lavavajilla</t>
  </si>
  <si>
    <t>Ref.</t>
  </si>
  <si>
    <t>https://www.cleanipedia.com/ar/sustentabilidad/cuanto-consume-un-lavavajillas.html#:~:text=Preguntas%20frecuentes%20sobre%20cu%C3%A1nto%20consume%20un%20lavavajillas&amp;text=El%20consumo%20de%20un%20lavavajillas%20con%20la%20etiqueta%20de%20eficiencia,246%20W%20a%20la%20hora.</t>
  </si>
  <si>
    <t>un lavavajillas con la etiqueta de eficiencia energética es entre 8 y 10 litros de agua en cada ciclo. Además, un programa corto del producto gasta alrededor de 246 W a la hora.</t>
  </si>
  <si>
    <t>Consumo Lavavajilla Medio</t>
  </si>
  <si>
    <t>wh/ciclo</t>
  </si>
  <si>
    <t>MWh/a~no</t>
  </si>
  <si>
    <t>Consumo Lavavajilla Etiqueta A (8 litros agua)</t>
  </si>
  <si>
    <t>dias</t>
  </si>
  <si>
    <t>Temperatura</t>
  </si>
  <si>
    <t>Consumo por ciclo lavado</t>
  </si>
  <si>
    <t>consumo Annual</t>
  </si>
  <si>
    <t>Programa</t>
  </si>
  <si>
    <t>ºC</t>
  </si>
  <si>
    <t>MWh</t>
  </si>
  <si>
    <t>Vapor</t>
  </si>
  <si>
    <t>Intensivo</t>
  </si>
  <si>
    <t>Chef</t>
  </si>
  <si>
    <t>Familia</t>
  </si>
  <si>
    <t>Universal</t>
  </si>
  <si>
    <t>Diario Normal</t>
  </si>
  <si>
    <t>(Mas usado)</t>
  </si>
  <si>
    <t>Eco Plus</t>
  </si>
  <si>
    <t>Eco</t>
  </si>
  <si>
    <t>Crystal</t>
  </si>
  <si>
    <t>Rapido 60'</t>
  </si>
  <si>
    <t>Rapido 30'</t>
  </si>
  <si>
    <t>Pre-Lavado</t>
  </si>
  <si>
    <t>No se usa</t>
  </si>
  <si>
    <t>Consumo promedio diario</t>
  </si>
  <si>
    <t>1kWh</t>
  </si>
  <si>
    <t>Consumo promedio mensual</t>
  </si>
  <si>
    <t>30kWh</t>
  </si>
  <si>
    <t>Consumo promedio anual</t>
  </si>
  <si>
    <t>365kWh</t>
  </si>
  <si>
    <t>Consumo anual lavavajillas [kWh]</t>
  </si>
  <si>
    <t>Consumo anual hogar [kWh]</t>
  </si>
  <si>
    <t>11% de particiacion en el consumo electrico anual hogareño promedio</t>
  </si>
  <si>
    <t>Lavavajilla Etiqueta A (8 litros agua)</t>
  </si>
  <si>
    <t>Tiene acceso a red de gas Natural</t>
  </si>
  <si>
    <t>Solo si tiene acceso a las redes de gas natural</t>
  </si>
  <si>
    <t>Solo si NO tiene acceso a las redes de gas natural</t>
  </si>
  <si>
    <t>y usa garrafas o cilindros de gas anvasado (GLP)</t>
  </si>
  <si>
    <t>Usa:</t>
  </si>
  <si>
    <t>Cilindros (45 kg)</t>
  </si>
  <si>
    <t>Garrafas de (10 o 15 kg)</t>
  </si>
  <si>
    <t>Tubos grandes Zepelin (Mas de 45 kg)</t>
  </si>
  <si>
    <t>si/no</t>
  </si>
  <si>
    <t>Para cocinar</t>
  </si>
  <si>
    <t>Kg de Gas envasado por mes</t>
  </si>
  <si>
    <t>Kg/mes (verano</t>
  </si>
  <si>
    <t>Kg/mes (invierno)</t>
  </si>
  <si>
    <t>Para Agua caliente Sanitaria</t>
  </si>
  <si>
    <t>Para Calefaccion</t>
  </si>
  <si>
    <t>Para Heladra</t>
  </si>
  <si>
    <t xml:space="preserve">Kg/mes </t>
  </si>
  <si>
    <t>Kg/día</t>
  </si>
  <si>
    <t>GN_Equivelnte</t>
  </si>
  <si>
    <t>m3(Eq.GN)/día</t>
  </si>
  <si>
    <t>Consumo de Agua caliente sanitaria</t>
  </si>
  <si>
    <t>Litro/día</t>
  </si>
  <si>
    <t>Litro/día/persona</t>
  </si>
  <si>
    <t xml:space="preserve">Consumo Estandar o normal de referencia </t>
  </si>
  <si>
    <t>50+- 20</t>
  </si>
  <si>
    <t>Medido o Estimado</t>
  </si>
  <si>
    <t>Med./Estim.</t>
  </si>
  <si>
    <t>Datos obsevador en Argentina</t>
  </si>
  <si>
    <t>Electro…  Clase A</t>
  </si>
  <si>
    <t>`+-  40%</t>
  </si>
  <si>
    <t>`+-  20%</t>
  </si>
  <si>
    <t>Por favor no borrar ni modificar las lineas, si no tiene un artefacto, ponga horas de uso igual a 0</t>
  </si>
  <si>
    <t>Pegue aqui su factura de electricidad</t>
  </si>
  <si>
    <t>Esta es solo un ejemplo</t>
  </si>
  <si>
    <t>Titulo</t>
  </si>
  <si>
    <t>Poner aqui la pendiente</t>
  </si>
  <si>
    <t>Según la etiqueta=</t>
  </si>
  <si>
    <t>Corregido por S.Gil 7/5/2022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</si>
</sst>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\ #,##0;[Red]&quot;$&quot;\ \-#,##0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-* #,##0.00\ _€_-;\-* #,##0.00\ _€_-;_-* &quot;-&quot;??\ _€_-;_-@_-"/>
    <numFmt numFmtId="170" formatCode="0.0"/>
    <numFmt numFmtId="171" formatCode="0.0%"/>
    <numFmt numFmtId="172" formatCode="_ * #,##0_ ;_ * \-#,##0_ ;_ * &quot;-&quot;??_ ;_ @_ "/>
    <numFmt numFmtId="173" formatCode="_-* #,##0\ _€_-;\-* #,##0\ _€_-;_-* &quot;-&quot;??\ _€_-;_-@_-"/>
    <numFmt numFmtId="174" formatCode="0.000"/>
    <numFmt numFmtId="175" formatCode="_([$€-2]* #,##0.00_);_([$€-2]* \(#,##0.00\);_([$€-2]* &quot;-&quot;??_)"/>
    <numFmt numFmtId="176" formatCode="mmmm\ d\,\ yyyy"/>
    <numFmt numFmtId="177" formatCode="_(* #,##0_);_(* \(#,##0\);_(* &quot;-&quot;??_);_(@_)"/>
    <numFmt numFmtId="178" formatCode="\$#,##0.00_);\(\$#,##0.00\)"/>
    <numFmt numFmtId="179" formatCode="\$#,##0_);\(\$#,##0\)"/>
    <numFmt numFmtId="180" formatCode="_-* #,##0.000\ _€_-;\-* #,##0.000\ _€_-;_-* &quot;-&quot;??\ _€_-;_-@_-"/>
    <numFmt numFmtId="181" formatCode="_-* #,##0\ _€_-;\-* #,##0\ _€_-;_-* &quot;-&quot;???\ _€_-;_-@_-"/>
    <numFmt numFmtId="182" formatCode="_ * #,##0_ ;_ * \-#,##0_ ;_ * &quot;-&quot;?_ ;_ @_ "/>
    <numFmt numFmtId="183" formatCode="_ * #,##0.0_ ;_ * \-#,##0.0_ ;_ * &quot;-&quot;??_ ;_ @_ "/>
    <numFmt numFmtId="184" formatCode="_-[$$-2C0A]\ * #,##0.00_-;\-[$$-2C0A]\ * #,##0.00_-;_-[$$-2C0A]\ * &quot;-&quot;??_-;_-@_-"/>
    <numFmt numFmtId="185" formatCode="#,##0.0"/>
    <numFmt numFmtId="186" formatCode="#,##0.000"/>
    <numFmt numFmtId="187" formatCode="#,##0.0000"/>
    <numFmt numFmtId="188" formatCode="0.0000"/>
    <numFmt numFmtId="189" formatCode="[$-C0A]d\-mmm;@"/>
    <numFmt numFmtId="192" formatCode="[$-C0A]dd\-mmm\-yy;@"/>
    <numFmt numFmtId="193" formatCode="\k&quot;$&quot;\ #,##0.0;\-&quot;$&quot;\ #,##0.0"/>
  </numFmts>
  <fonts count="1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name val="Geneva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4"/>
      <color rgb="FF003399"/>
      <name val="Calibri"/>
      <family val="2"/>
      <scheme val="minor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7030A0"/>
      <name val="Arial"/>
      <family val="2"/>
    </font>
    <font>
      <b/>
      <sz val="16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mbria"/>
      <family val="1"/>
      <scheme val="major"/>
    </font>
    <font>
      <b/>
      <sz val="18"/>
      <color rgb="FF0000FF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FF"/>
      <name val="Calibri"/>
      <family val="2"/>
    </font>
    <font>
      <sz val="14"/>
      <color rgb="FF0070C0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003399"/>
      <name val="Arial"/>
      <family val="2"/>
    </font>
    <font>
      <b/>
      <sz val="14"/>
      <color rgb="FFFF000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rgb="FFC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rgb="FF0000FF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8"/>
      <color rgb="FF222222"/>
      <name val="Arial"/>
      <family val="2"/>
    </font>
    <font>
      <b/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2"/>
      <color rgb="FF0000FF"/>
      <name val="Calibri"/>
      <family val="2"/>
    </font>
    <font>
      <b/>
      <sz val="11"/>
      <color rgb="FF0000FF"/>
      <name val="Calibri"/>
      <family val="2"/>
    </font>
    <font>
      <b/>
      <sz val="8"/>
      <color rgb="FF202122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rgb="FFC00000"/>
      <name val="Calibri"/>
      <family val="2"/>
    </font>
    <font>
      <b/>
      <sz val="16"/>
      <color rgb="FFC0000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Calibri"/>
      <family val="2"/>
    </font>
    <font>
      <sz val="11"/>
      <color theme="1"/>
      <name val="Arial"/>
      <family val="2"/>
    </font>
    <font>
      <b/>
      <sz val="16"/>
      <color rgb="FF0000FF"/>
      <name val="Arial"/>
      <family val="2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C00000"/>
      <name val="Arial"/>
      <family val="2"/>
    </font>
    <font>
      <b/>
      <i/>
      <sz val="12"/>
      <color theme="1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2"/>
      <color rgb="FF0000FF"/>
      <name val="Arial"/>
      <family val="2"/>
    </font>
    <font>
      <sz val="14"/>
      <color rgb="FF0000FF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FFC000"/>
        <bgColor rgb="FFFFC000"/>
      </patternFill>
    </fill>
    <fill>
      <patternFill patternType="solid">
        <fgColor rgb="FFD99594"/>
        <bgColor rgb="FFD9959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theme="6" tint="0.79998168889431442"/>
        <bgColor rgb="FFD99594"/>
      </patternFill>
    </fill>
    <fill>
      <patternFill patternType="solid">
        <fgColor rgb="FFFFC000"/>
        <bgColor rgb="FFFABF8F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BF8F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rgb="FFFFFBCD"/>
        <bgColor indexed="64"/>
      </patternFill>
    </fill>
    <fill>
      <patternFill patternType="solid">
        <fgColor rgb="FFCCFF99"/>
        <bgColor rgb="FFFFC00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0">
    <xf numFmtId="0" fontId="0" fillId="0" borderId="0"/>
    <xf numFmtId="169" fontId="6" fillId="0" borderId="0" applyFont="0" applyFill="0" applyBorder="0" applyAlignment="0" applyProtection="0"/>
    <xf numFmtId="0" fontId="3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7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0" borderId="0"/>
    <xf numFmtId="0" fontId="22" fillId="0" borderId="0">
      <alignment horizontal="right"/>
    </xf>
    <xf numFmtId="0" fontId="23" fillId="0" borderId="0"/>
    <xf numFmtId="0" fontId="24" fillId="0" borderId="0"/>
    <xf numFmtId="0" fontId="25" fillId="0" borderId="0"/>
    <xf numFmtId="0" fontId="26" fillId="0" borderId="27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71" fontId="27" fillId="0" borderId="0">
      <alignment horizontal="right"/>
    </xf>
    <xf numFmtId="170" fontId="28" fillId="0" borderId="0">
      <alignment horizontal="right"/>
    </xf>
    <xf numFmtId="0" fontId="29" fillId="0" borderId="0"/>
    <xf numFmtId="0" fontId="3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1" fillId="28" borderId="28" applyNumberFormat="0" applyAlignment="0" applyProtection="0"/>
    <xf numFmtId="0" fontId="32" fillId="29" borderId="29" applyNumberFormat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34" fillId="0" borderId="0"/>
    <xf numFmtId="0" fontId="35" fillId="0" borderId="30" applyNumberFormat="0" applyFill="0" applyAlignment="0" applyProtection="0"/>
    <xf numFmtId="0" fontId="36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28" applyNumberFormat="0" applyAlignment="0" applyProtection="0"/>
    <xf numFmtId="0" fontId="39" fillId="0" borderId="33" applyNumberFormat="0" applyFill="0" applyAlignment="0" applyProtection="0"/>
    <xf numFmtId="165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40" fillId="0" borderId="0" applyFont="0" applyFill="0" applyBorder="0" applyAlignment="0" applyProtection="0"/>
    <xf numFmtId="17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2" fillId="0" borderId="0" applyFill="0" applyBorder="0"/>
    <xf numFmtId="0" fontId="3" fillId="0" borderId="0"/>
    <xf numFmtId="0" fontId="1" fillId="0" borderId="0"/>
    <xf numFmtId="0" fontId="1" fillId="0" borderId="0"/>
    <xf numFmtId="0" fontId="3" fillId="30" borderId="34" applyNumberFormat="0" applyFont="0" applyAlignment="0" applyProtection="0"/>
    <xf numFmtId="0" fontId="43" fillId="28" borderId="35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3" fillId="0" borderId="0" applyFill="0" applyBorder="0" applyAlignment="0" applyProtection="0"/>
    <xf numFmtId="171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3" fillId="0" borderId="0" applyFill="0" applyBorder="0" applyAlignment="0" applyProtection="0"/>
    <xf numFmtId="37" fontId="3" fillId="0" borderId="0" applyFill="0" applyBorder="0" applyAlignment="0" applyProtection="0"/>
    <xf numFmtId="0" fontId="34" fillId="0" borderId="0"/>
    <xf numFmtId="0" fontId="3" fillId="0" borderId="0" applyNumberFormat="0" applyFill="0" applyBorder="0" applyProtection="0">
      <alignment horizontal="right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2">
    <xf numFmtId="0" fontId="0" fillId="0" borderId="0" xfId="0"/>
    <xf numFmtId="0" fontId="3" fillId="0" borderId="0" xfId="2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9" fillId="0" borderId="1" xfId="0" applyFont="1" applyBorder="1"/>
    <xf numFmtId="0" fontId="2" fillId="6" borderId="0" xfId="0" applyFont="1" applyFill="1"/>
    <xf numFmtId="0" fontId="2" fillId="0" borderId="1" xfId="0" applyFont="1" applyBorder="1" applyAlignment="1">
      <alignment horizontal="center"/>
    </xf>
    <xf numFmtId="0" fontId="3" fillId="0" borderId="0" xfId="2" applyFont="1" applyFill="1" applyBorder="1"/>
    <xf numFmtId="1" fontId="7" fillId="0" borderId="5" xfId="2" applyNumberFormat="1" applyFont="1" applyFill="1" applyBorder="1"/>
    <xf numFmtId="1" fontId="7" fillId="0" borderId="0" xfId="2" applyNumberFormat="1" applyFont="1" applyFill="1" applyBorder="1"/>
    <xf numFmtId="0" fontId="2" fillId="0" borderId="0" xfId="0" applyFont="1" applyAlignment="1">
      <alignment horizontal="center"/>
    </xf>
    <xf numFmtId="170" fontId="0" fillId="0" borderId="0" xfId="0" applyNumberFormat="1"/>
    <xf numFmtId="0" fontId="2" fillId="0" borderId="21" xfId="0" applyFont="1" applyBorder="1"/>
    <xf numFmtId="0" fontId="2" fillId="0" borderId="0" xfId="0" applyFont="1" applyFill="1" applyBorder="1"/>
    <xf numFmtId="1" fontId="2" fillId="6" borderId="0" xfId="0" applyNumberFormat="1" applyFont="1" applyFill="1" applyBorder="1"/>
    <xf numFmtId="1" fontId="7" fillId="0" borderId="36" xfId="2" applyNumberFormat="1" applyFont="1" applyFill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3" fillId="0" borderId="0" xfId="2" applyFill="1" applyBorder="1"/>
    <xf numFmtId="0" fontId="0" fillId="0" borderId="0" xfId="0" applyFill="1" applyBorder="1"/>
    <xf numFmtId="2" fontId="0" fillId="0" borderId="0" xfId="0" applyNumberFormat="1" applyFill="1" applyBorder="1"/>
    <xf numFmtId="0" fontId="4" fillId="0" borderId="0" xfId="2" applyFont="1" applyFill="1" applyBorder="1"/>
    <xf numFmtId="0" fontId="0" fillId="0" borderId="0" xfId="0" applyBorder="1"/>
    <xf numFmtId="0" fontId="3" fillId="0" borderId="0" xfId="2" applyBorder="1"/>
    <xf numFmtId="0" fontId="48" fillId="0" borderId="0" xfId="2" applyFont="1" applyFill="1" applyBorder="1"/>
    <xf numFmtId="0" fontId="2" fillId="3" borderId="36" xfId="0" applyFont="1" applyFill="1" applyBorder="1" applyAlignment="1">
      <alignment horizontal="center"/>
    </xf>
    <xf numFmtId="0" fontId="54" fillId="0" borderId="0" xfId="2" applyFont="1" applyFill="1" applyBorder="1"/>
    <xf numFmtId="170" fontId="4" fillId="0" borderId="0" xfId="2" applyNumberFormat="1" applyFont="1" applyFill="1" applyBorder="1"/>
    <xf numFmtId="2" fontId="4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center" wrapText="1"/>
    </xf>
    <xf numFmtId="20" fontId="4" fillId="0" borderId="0" xfId="2" applyNumberFormat="1" applyFont="1" applyFill="1" applyBorder="1"/>
    <xf numFmtId="0" fontId="4" fillId="0" borderId="36" xfId="2" applyFont="1" applyFill="1" applyBorder="1"/>
    <xf numFmtId="0" fontId="55" fillId="0" borderId="0" xfId="2" applyFont="1" applyFill="1" applyBorder="1"/>
    <xf numFmtId="0" fontId="46" fillId="0" borderId="0" xfId="0" applyFont="1" applyFill="1" applyBorder="1"/>
    <xf numFmtId="170" fontId="48" fillId="0" borderId="0" xfId="2" applyNumberFormat="1" applyFont="1" applyFill="1" applyBorder="1" applyAlignment="1">
      <alignment horizontal="center"/>
    </xf>
    <xf numFmtId="0" fontId="48" fillId="0" borderId="0" xfId="2" applyFont="1" applyFill="1" applyBorder="1" applyAlignment="1">
      <alignment horizontal="center"/>
    </xf>
    <xf numFmtId="171" fontId="48" fillId="0" borderId="0" xfId="5" applyNumberFormat="1" applyFont="1" applyFill="1" applyBorder="1"/>
    <xf numFmtId="1" fontId="4" fillId="0" borderId="0" xfId="2" applyNumberFormat="1" applyFont="1" applyFill="1" applyBorder="1"/>
    <xf numFmtId="0" fontId="1" fillId="0" borderId="0" xfId="3" applyFill="1" applyBorder="1"/>
    <xf numFmtId="0" fontId="4" fillId="0" borderId="0" xfId="3" applyFont="1" applyFill="1" applyBorder="1"/>
    <xf numFmtId="174" fontId="4" fillId="0" borderId="0" xfId="3" applyNumberFormat="1" applyFont="1" applyFill="1" applyBorder="1"/>
    <xf numFmtId="170" fontId="57" fillId="0" borderId="0" xfId="3" applyNumberFormat="1" applyFont="1" applyFill="1" applyBorder="1"/>
    <xf numFmtId="170" fontId="48" fillId="0" borderId="0" xfId="2" applyNumberFormat="1" applyFont="1" applyFill="1" applyBorder="1"/>
    <xf numFmtId="0" fontId="48" fillId="0" borderId="0" xfId="3" applyFont="1" applyFill="1" applyBorder="1"/>
    <xf numFmtId="0" fontId="5" fillId="0" borderId="0" xfId="2" applyFont="1" applyFill="1" applyBorder="1" applyAlignment="1">
      <alignment horizontal="center"/>
    </xf>
    <xf numFmtId="0" fontId="3" fillId="0" borderId="0" xfId="3" applyFont="1" applyFill="1" applyBorder="1"/>
    <xf numFmtId="0" fontId="3" fillId="0" borderId="0" xfId="2" applyFill="1"/>
    <xf numFmtId="17" fontId="12" fillId="0" borderId="0" xfId="2" applyNumberFormat="1" applyFont="1" applyFill="1" applyBorder="1" applyAlignment="1">
      <alignment horizontal="center"/>
    </xf>
    <xf numFmtId="0" fontId="47" fillId="0" borderId="0" xfId="2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2" applyFont="1" applyFill="1"/>
    <xf numFmtId="0" fontId="0" fillId="0" borderId="0" xfId="0" applyFill="1"/>
    <xf numFmtId="15" fontId="4" fillId="0" borderId="0" xfId="2" applyNumberFormat="1" applyFont="1" applyFill="1" applyBorder="1"/>
    <xf numFmtId="0" fontId="4" fillId="0" borderId="42" xfId="2" applyFont="1" applyFill="1" applyBorder="1"/>
    <xf numFmtId="0" fontId="48" fillId="0" borderId="2" xfId="2" applyFont="1" applyFill="1" applyBorder="1" applyAlignment="1">
      <alignment horizontal="center" wrapText="1"/>
    </xf>
    <xf numFmtId="0" fontId="4" fillId="0" borderId="18" xfId="2" applyFont="1" applyFill="1" applyBorder="1" applyAlignment="1">
      <alignment wrapText="1"/>
    </xf>
    <xf numFmtId="2" fontId="5" fillId="0" borderId="36" xfId="2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48" fillId="0" borderId="36" xfId="2" applyFont="1" applyFill="1" applyBorder="1" applyAlignment="1">
      <alignment horizontal="center" wrapText="1"/>
    </xf>
    <xf numFmtId="173" fontId="4" fillId="0" borderId="0" xfId="1" applyNumberFormat="1" applyFont="1" applyFill="1" applyBorder="1"/>
    <xf numFmtId="14" fontId="2" fillId="0" borderId="36" xfId="3" applyNumberFormat="1" applyFont="1" applyFill="1" applyBorder="1"/>
    <xf numFmtId="21" fontId="2" fillId="0" borderId="36" xfId="3" applyNumberFormat="1" applyFont="1" applyFill="1" applyBorder="1"/>
    <xf numFmtId="0" fontId="57" fillId="0" borderId="36" xfId="3" applyFont="1" applyFill="1" applyBorder="1"/>
    <xf numFmtId="169" fontId="58" fillId="0" borderId="36" xfId="4" applyFont="1" applyFill="1" applyBorder="1"/>
    <xf numFmtId="180" fontId="58" fillId="0" borderId="36" xfId="3" applyNumberFormat="1" applyFont="1" applyFill="1" applyBorder="1"/>
    <xf numFmtId="181" fontId="57" fillId="0" borderId="47" xfId="3" applyNumberFormat="1" applyFont="1" applyFill="1" applyBorder="1"/>
    <xf numFmtId="14" fontId="57" fillId="0" borderId="36" xfId="3" applyNumberFormat="1" applyFont="1" applyFill="1" applyBorder="1"/>
    <xf numFmtId="21" fontId="57" fillId="0" borderId="36" xfId="3" applyNumberFormat="1" applyFont="1" applyFill="1" applyBorder="1"/>
    <xf numFmtId="169" fontId="57" fillId="0" borderId="36" xfId="4" applyFont="1" applyFill="1" applyBorder="1"/>
    <xf numFmtId="180" fontId="57" fillId="0" borderId="36" xfId="3" applyNumberFormat="1" applyFont="1" applyFill="1" applyBorder="1"/>
    <xf numFmtId="0" fontId="48" fillId="0" borderId="50" xfId="2" applyFont="1" applyFill="1" applyBorder="1"/>
    <xf numFmtId="1" fontId="48" fillId="0" borderId="50" xfId="2" applyNumberFormat="1" applyFont="1" applyFill="1" applyBorder="1"/>
    <xf numFmtId="0" fontId="48" fillId="0" borderId="0" xfId="2" applyFont="1" applyFill="1"/>
    <xf numFmtId="9" fontId="50" fillId="0" borderId="0" xfId="5" applyFont="1" applyFill="1"/>
    <xf numFmtId="171" fontId="5" fillId="0" borderId="0" xfId="5" applyNumberFormat="1" applyFont="1" applyFill="1" applyAlignment="1">
      <alignment horizontal="center"/>
    </xf>
    <xf numFmtId="0" fontId="3" fillId="0" borderId="0" xfId="2" applyFont="1" applyFill="1"/>
    <xf numFmtId="0" fontId="4" fillId="0" borderId="50" xfId="2" applyFont="1" applyFill="1" applyBorder="1" applyAlignment="1">
      <alignment horizontal="center" wrapText="1"/>
    </xf>
    <xf numFmtId="0" fontId="4" fillId="0" borderId="50" xfId="3" applyFont="1" applyFill="1" applyBorder="1"/>
    <xf numFmtId="0" fontId="1" fillId="0" borderId="0" xfId="3" applyFill="1"/>
    <xf numFmtId="0" fontId="4" fillId="0" borderId="36" xfId="3" applyFont="1" applyFill="1" applyBorder="1"/>
    <xf numFmtId="0" fontId="4" fillId="0" borderId="46" xfId="3" applyFont="1" applyFill="1" applyBorder="1"/>
    <xf numFmtId="0" fontId="48" fillId="0" borderId="0" xfId="2" applyFont="1" applyFill="1" applyBorder="1" applyAlignment="1">
      <alignment horizontal="center" vertical="center" wrapText="1"/>
    </xf>
    <xf numFmtId="0" fontId="4" fillId="0" borderId="55" xfId="2" applyFont="1" applyFill="1" applyBorder="1"/>
    <xf numFmtId="0" fontId="47" fillId="7" borderId="41" xfId="2" applyFont="1" applyFill="1" applyBorder="1" applyAlignment="1">
      <alignment horizontal="center" vertical="center" wrapText="1"/>
    </xf>
    <xf numFmtId="0" fontId="4" fillId="0" borderId="3" xfId="2" applyFont="1" applyFill="1" applyBorder="1"/>
    <xf numFmtId="0" fontId="4" fillId="0" borderId="2" xfId="2" applyFont="1" applyFill="1" applyBorder="1"/>
    <xf numFmtId="0" fontId="3" fillId="0" borderId="12" xfId="2" applyFill="1" applyBorder="1"/>
    <xf numFmtId="0" fontId="4" fillId="0" borderId="18" xfId="2" applyFont="1" applyFill="1" applyBorder="1"/>
    <xf numFmtId="0" fontId="4" fillId="0" borderId="6" xfId="2" applyFont="1" applyFill="1" applyBorder="1"/>
    <xf numFmtId="0" fontId="4" fillId="0" borderId="5" xfId="2" applyFont="1" applyFill="1" applyBorder="1"/>
    <xf numFmtId="0" fontId="4" fillId="0" borderId="51" xfId="2" applyFont="1" applyFill="1" applyBorder="1"/>
    <xf numFmtId="0" fontId="4" fillId="0" borderId="52" xfId="2" applyFont="1" applyFill="1" applyBorder="1"/>
    <xf numFmtId="0" fontId="47" fillId="0" borderId="0" xfId="2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/>
    </xf>
    <xf numFmtId="0" fontId="7" fillId="0" borderId="51" xfId="2" applyFont="1" applyFill="1" applyBorder="1"/>
    <xf numFmtId="0" fontId="7" fillId="0" borderId="44" xfId="2" applyFont="1" applyFill="1" applyBorder="1"/>
    <xf numFmtId="0" fontId="15" fillId="0" borderId="20" xfId="2" applyFont="1" applyFill="1" applyBorder="1"/>
    <xf numFmtId="0" fontId="4" fillId="0" borderId="12" xfId="2" applyFont="1" applyFill="1" applyBorder="1"/>
    <xf numFmtId="0" fontId="0" fillId="0" borderId="36" xfId="0" applyFill="1" applyBorder="1"/>
    <xf numFmtId="0" fontId="48" fillId="0" borderId="36" xfId="2" applyFont="1" applyFill="1" applyBorder="1"/>
    <xf numFmtId="0" fontId="52" fillId="0" borderId="36" xfId="2" applyFont="1" applyFill="1" applyBorder="1"/>
    <xf numFmtId="0" fontId="50" fillId="0" borderId="36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left"/>
    </xf>
    <xf numFmtId="0" fontId="50" fillId="0" borderId="2" xfId="2" applyFont="1" applyFill="1" applyBorder="1" applyAlignment="1">
      <alignment horizontal="center" wrapText="1"/>
    </xf>
    <xf numFmtId="0" fontId="0" fillId="0" borderId="9" xfId="0" applyFill="1" applyBorder="1"/>
    <xf numFmtId="0" fontId="3" fillId="0" borderId="18" xfId="2" applyFill="1" applyBorder="1" applyAlignment="1">
      <alignment wrapText="1"/>
    </xf>
    <xf numFmtId="0" fontId="47" fillId="0" borderId="19" xfId="2" applyFont="1" applyFill="1" applyBorder="1" applyAlignment="1">
      <alignment horizontal="center" vertical="center"/>
    </xf>
    <xf numFmtId="0" fontId="53" fillId="0" borderId="18" xfId="2" applyFont="1" applyFill="1" applyBorder="1" applyAlignment="1">
      <alignment horizontal="center" vertical="center" wrapText="1"/>
    </xf>
    <xf numFmtId="0" fontId="3" fillId="0" borderId="19" xfId="2" applyFill="1" applyBorder="1"/>
    <xf numFmtId="0" fontId="51" fillId="0" borderId="18" xfId="2" applyFont="1" applyFill="1" applyBorder="1"/>
    <xf numFmtId="0" fontId="48" fillId="0" borderId="5" xfId="2" applyFont="1" applyFill="1" applyBorder="1"/>
    <xf numFmtId="0" fontId="61" fillId="0" borderId="36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wrapText="1"/>
    </xf>
    <xf numFmtId="0" fontId="50" fillId="7" borderId="36" xfId="2" applyFont="1" applyFill="1" applyBorder="1" applyAlignment="1" applyProtection="1">
      <alignment horizontal="center" vertical="center"/>
      <protection locked="0"/>
    </xf>
    <xf numFmtId="169" fontId="48" fillId="0" borderId="36" xfId="1" applyFont="1" applyFill="1" applyBorder="1" applyProtection="1">
      <protection locked="0"/>
    </xf>
    <xf numFmtId="0" fontId="7" fillId="0" borderId="18" xfId="2" applyFont="1" applyFill="1" applyBorder="1" applyAlignment="1">
      <alignment horizontal="left" vertical="center" wrapText="1"/>
    </xf>
    <xf numFmtId="2" fontId="5" fillId="0" borderId="37" xfId="2" applyNumberFormat="1" applyFont="1" applyFill="1" applyBorder="1" applyAlignment="1">
      <alignment horizontal="center" vertical="center"/>
    </xf>
    <xf numFmtId="0" fontId="7" fillId="0" borderId="16" xfId="2" applyFont="1" applyFill="1" applyBorder="1"/>
    <xf numFmtId="0" fontId="7" fillId="0" borderId="48" xfId="2" applyFont="1" applyFill="1" applyBorder="1" applyAlignment="1">
      <alignment horizontal="left" vertical="center" wrapText="1"/>
    </xf>
    <xf numFmtId="0" fontId="47" fillId="0" borderId="49" xfId="2" applyFont="1" applyFill="1" applyBorder="1" applyAlignment="1">
      <alignment horizontal="center" vertical="center"/>
    </xf>
    <xf numFmtId="0" fontId="15" fillId="0" borderId="12" xfId="1" applyNumberFormat="1" applyFont="1" applyFill="1" applyBorder="1" applyAlignment="1" applyProtection="1">
      <alignment vertical="center" wrapText="1"/>
      <protection locked="0"/>
    </xf>
    <xf numFmtId="0" fontId="48" fillId="0" borderId="12" xfId="2" applyFont="1" applyFill="1" applyBorder="1" applyProtection="1"/>
    <xf numFmtId="169" fontId="15" fillId="0" borderId="12" xfId="1" applyFont="1" applyFill="1" applyBorder="1" applyProtection="1">
      <protection locked="0"/>
    </xf>
    <xf numFmtId="0" fontId="51" fillId="0" borderId="54" xfId="2" applyFont="1" applyFill="1" applyBorder="1"/>
    <xf numFmtId="0" fontId="4" fillId="0" borderId="23" xfId="2" applyFont="1" applyFill="1" applyBorder="1"/>
    <xf numFmtId="173" fontId="62" fillId="7" borderId="4" xfId="1" applyNumberFormat="1" applyFont="1" applyFill="1" applyBorder="1" applyAlignment="1" applyProtection="1">
      <alignment horizontal="center"/>
      <protection locked="0"/>
    </xf>
    <xf numFmtId="170" fontId="63" fillId="0" borderId="16" xfId="2" applyNumberFormat="1" applyFont="1" applyFill="1" applyBorder="1"/>
    <xf numFmtId="2" fontId="63" fillId="0" borderId="16" xfId="2" applyNumberFormat="1" applyFont="1" applyFill="1" applyBorder="1"/>
    <xf numFmtId="173" fontId="64" fillId="0" borderId="25" xfId="4" applyNumberFormat="1" applyFont="1" applyFill="1" applyBorder="1" applyAlignment="1">
      <alignment horizontal="center"/>
    </xf>
    <xf numFmtId="0" fontId="4" fillId="0" borderId="3" xfId="2" applyFont="1" applyFill="1" applyBorder="1" applyAlignment="1">
      <alignment wrapText="1"/>
    </xf>
    <xf numFmtId="0" fontId="48" fillId="0" borderId="40" xfId="2" applyFont="1" applyFill="1" applyBorder="1" applyAlignment="1">
      <alignment horizontal="center" wrapText="1"/>
    </xf>
    <xf numFmtId="0" fontId="48" fillId="0" borderId="18" xfId="2" applyFont="1" applyFill="1" applyBorder="1" applyAlignment="1">
      <alignment horizontal="center"/>
    </xf>
    <xf numFmtId="0" fontId="48" fillId="0" borderId="19" xfId="2" applyFont="1" applyFill="1" applyBorder="1" applyAlignment="1">
      <alignment horizontal="center" wrapText="1"/>
    </xf>
    <xf numFmtId="2" fontId="7" fillId="0" borderId="0" xfId="2" applyNumberFormat="1" applyFont="1" applyFill="1" applyBorder="1"/>
    <xf numFmtId="0" fontId="3" fillId="0" borderId="20" xfId="2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0" fillId="0" borderId="57" xfId="0" applyFill="1" applyBorder="1"/>
    <xf numFmtId="0" fontId="4" fillId="5" borderId="0" xfId="2" applyFont="1" applyFill="1" applyBorder="1"/>
    <xf numFmtId="0" fontId="4" fillId="5" borderId="43" xfId="2" applyFont="1" applyFill="1" applyBorder="1"/>
    <xf numFmtId="2" fontId="2" fillId="5" borderId="44" xfId="0" applyNumberFormat="1" applyFont="1" applyFill="1" applyBorder="1" applyAlignment="1">
      <alignment horizontal="center"/>
    </xf>
    <xf numFmtId="0" fontId="2" fillId="5" borderId="45" xfId="0" applyFont="1" applyFill="1" applyBorder="1"/>
    <xf numFmtId="2" fontId="2" fillId="3" borderId="50" xfId="0" applyNumberFormat="1" applyFont="1" applyFill="1" applyBorder="1" applyAlignment="1">
      <alignment horizontal="center"/>
    </xf>
    <xf numFmtId="170" fontId="2" fillId="3" borderId="0" xfId="0" applyNumberFormat="1" applyFont="1" applyFill="1" applyAlignment="1">
      <alignment horizontal="center"/>
    </xf>
    <xf numFmtId="170" fontId="48" fillId="31" borderId="36" xfId="2" applyNumberFormat="1" applyFont="1" applyFill="1" applyBorder="1" applyProtection="1">
      <protection locked="0"/>
    </xf>
    <xf numFmtId="2" fontId="2" fillId="0" borderId="36" xfId="0" applyNumberFormat="1" applyFont="1" applyBorder="1" applyAlignment="1">
      <alignment horizontal="center"/>
    </xf>
    <xf numFmtId="2" fontId="2" fillId="0" borderId="36" xfId="0" applyNumberFormat="1" applyFont="1" applyBorder="1"/>
    <xf numFmtId="170" fontId="2" fillId="0" borderId="36" xfId="0" applyNumberFormat="1" applyFont="1" applyBorder="1" applyAlignment="1">
      <alignment horizontal="center"/>
    </xf>
    <xf numFmtId="2" fontId="2" fillId="3" borderId="36" xfId="0" applyNumberFormat="1" applyFont="1" applyFill="1" applyBorder="1"/>
    <xf numFmtId="0" fontId="2" fillId="0" borderId="0" xfId="0" applyFont="1" applyBorder="1"/>
    <xf numFmtId="170" fontId="48" fillId="0" borderId="0" xfId="2" applyNumberFormat="1" applyFont="1" applyFill="1" applyBorder="1" applyProtection="1">
      <protection locked="0"/>
    </xf>
    <xf numFmtId="2" fontId="2" fillId="0" borderId="0" xfId="0" applyNumberFormat="1" applyFont="1" applyFill="1" applyBorder="1"/>
    <xf numFmtId="2" fontId="2" fillId="6" borderId="0" xfId="0" applyNumberFormat="1" applyFont="1" applyFill="1"/>
    <xf numFmtId="0" fontId="0" fillId="0" borderId="0" xfId="0" applyProtection="1">
      <protection locked="0"/>
    </xf>
    <xf numFmtId="173" fontId="2" fillId="3" borderId="0" xfId="1" applyNumberFormat="1" applyFont="1" applyFill="1"/>
    <xf numFmtId="0" fontId="2" fillId="0" borderId="37" xfId="0" applyFont="1" applyBorder="1"/>
    <xf numFmtId="168" fontId="2" fillId="0" borderId="36" xfId="0" applyNumberFormat="1" applyFont="1" applyBorder="1"/>
    <xf numFmtId="170" fontId="2" fillId="0" borderId="36" xfId="0" applyNumberFormat="1" applyFont="1" applyBorder="1" applyAlignment="1">
      <alignment horizontal="center" vertical="center"/>
    </xf>
    <xf numFmtId="169" fontId="2" fillId="2" borderId="36" xfId="1" applyNumberFormat="1" applyFont="1" applyFill="1" applyBorder="1"/>
    <xf numFmtId="170" fontId="0" fillId="0" borderId="0" xfId="0" applyNumberFormat="1" applyFill="1" applyBorder="1"/>
    <xf numFmtId="170" fontId="2" fillId="0" borderId="0" xfId="0" applyNumberFormat="1" applyFont="1" applyFill="1" applyBorder="1"/>
    <xf numFmtId="184" fontId="2" fillId="0" borderId="0" xfId="0" applyNumberFormat="1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0" borderId="12" xfId="2" applyBorder="1"/>
    <xf numFmtId="0" fontId="0" fillId="0" borderId="21" xfId="0" applyBorder="1"/>
    <xf numFmtId="170" fontId="2" fillId="0" borderId="22" xfId="0" applyNumberFormat="1" applyFont="1" applyBorder="1" applyAlignment="1">
      <alignment horizontal="center"/>
    </xf>
    <xf numFmtId="0" fontId="4" fillId="0" borderId="20" xfId="2" applyFont="1" applyFill="1" applyBorder="1"/>
    <xf numFmtId="0" fontId="4" fillId="0" borderId="14" xfId="2" applyFont="1" applyFill="1" applyBorder="1"/>
    <xf numFmtId="0" fontId="0" fillId="0" borderId="21" xfId="0" applyFill="1" applyBorder="1"/>
    <xf numFmtId="0" fontId="47" fillId="7" borderId="0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center" vertical="center" wrapText="1"/>
    </xf>
    <xf numFmtId="174" fontId="4" fillId="6" borderId="24" xfId="0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9" xfId="0" applyFont="1" applyFill="1" applyBorder="1"/>
    <xf numFmtId="0" fontId="2" fillId="0" borderId="18" xfId="0" applyFont="1" applyBorder="1"/>
    <xf numFmtId="170" fontId="2" fillId="0" borderId="19" xfId="0" applyNumberFormat="1" applyFont="1" applyBorder="1" applyAlignment="1">
      <alignment horizontal="center"/>
    </xf>
    <xf numFmtId="0" fontId="2" fillId="0" borderId="6" xfId="0" applyFont="1" applyBorder="1"/>
    <xf numFmtId="170" fontId="2" fillId="0" borderId="5" xfId="0" applyNumberFormat="1" applyFont="1" applyBorder="1"/>
    <xf numFmtId="0" fontId="2" fillId="0" borderId="11" xfId="0" applyFont="1" applyFill="1" applyBorder="1"/>
    <xf numFmtId="0" fontId="2" fillId="0" borderId="13" xfId="0" applyFont="1" applyFill="1" applyBorder="1"/>
    <xf numFmtId="170" fontId="2" fillId="0" borderId="42" xfId="0" applyNumberFormat="1" applyFont="1" applyBorder="1" applyAlignment="1">
      <alignment horizontal="center"/>
    </xf>
    <xf numFmtId="170" fontId="2" fillId="0" borderId="56" xfId="0" applyNumberFormat="1" applyFont="1" applyBorder="1" applyAlignment="1">
      <alignment horizontal="center"/>
    </xf>
    <xf numFmtId="170" fontId="2" fillId="0" borderId="14" xfId="0" applyNumberFormat="1" applyFont="1" applyBorder="1" applyAlignment="1">
      <alignment horizontal="center"/>
    </xf>
    <xf numFmtId="170" fontId="66" fillId="0" borderId="5" xfId="2" applyNumberFormat="1" applyFont="1" applyFill="1" applyBorder="1" applyProtection="1">
      <protection locked="0"/>
    </xf>
    <xf numFmtId="2" fontId="11" fillId="0" borderId="5" xfId="0" applyNumberFormat="1" applyFont="1" applyFill="1" applyBorder="1" applyAlignment="1">
      <alignment horizontal="center"/>
    </xf>
    <xf numFmtId="2" fontId="11" fillId="0" borderId="5" xfId="0" applyNumberFormat="1" applyFont="1" applyFill="1" applyBorder="1"/>
    <xf numFmtId="170" fontId="47" fillId="0" borderId="5" xfId="2" applyNumberFormat="1" applyFont="1" applyFill="1" applyBorder="1" applyProtection="1">
      <protection locked="0"/>
    </xf>
    <xf numFmtId="170" fontId="47" fillId="0" borderId="8" xfId="2" applyNumberFormat="1" applyFont="1" applyFill="1" applyBorder="1" applyProtection="1">
      <protection locked="0"/>
    </xf>
    <xf numFmtId="170" fontId="0" fillId="0" borderId="0" xfId="0" applyNumberFormat="1" applyBorder="1"/>
    <xf numFmtId="170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73" fontId="2" fillId="2" borderId="2" xfId="1" applyNumberFormat="1" applyFont="1" applyFill="1" applyBorder="1"/>
    <xf numFmtId="0" fontId="2" fillId="2" borderId="2" xfId="0" applyFont="1" applyFill="1" applyBorder="1"/>
    <xf numFmtId="0" fontId="2" fillId="0" borderId="9" xfId="0" applyFont="1" applyBorder="1"/>
    <xf numFmtId="0" fontId="2" fillId="0" borderId="18" xfId="0" applyFont="1" applyFill="1" applyBorder="1"/>
    <xf numFmtId="182" fontId="2" fillId="0" borderId="19" xfId="0" applyNumberFormat="1" applyFont="1" applyBorder="1"/>
    <xf numFmtId="0" fontId="2" fillId="3" borderId="6" xfId="0" applyFont="1" applyFill="1" applyBorder="1"/>
    <xf numFmtId="170" fontId="2" fillId="3" borderId="5" xfId="0" applyNumberFormat="1" applyFont="1" applyFill="1" applyBorder="1" applyAlignment="1">
      <alignment horizontal="center" vertical="center"/>
    </xf>
    <xf numFmtId="183" fontId="2" fillId="3" borderId="5" xfId="0" applyNumberFormat="1" applyFont="1" applyFill="1" applyBorder="1"/>
    <xf numFmtId="172" fontId="2" fillId="3" borderId="8" xfId="0" applyNumberFormat="1" applyFon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/>
    <xf numFmtId="1" fontId="9" fillId="0" borderId="0" xfId="0" applyNumberFormat="1" applyFont="1" applyFill="1" applyBorder="1" applyAlignment="1">
      <alignment horizontal="center" vertical="center"/>
    </xf>
    <xf numFmtId="0" fontId="65" fillId="0" borderId="0" xfId="0" applyFont="1" applyFill="1" applyBorder="1"/>
    <xf numFmtId="1" fontId="65" fillId="0" borderId="0" xfId="0" applyNumberFormat="1" applyFont="1" applyFill="1" applyBorder="1" applyAlignment="1">
      <alignment horizontal="center" vertical="center"/>
    </xf>
    <xf numFmtId="2" fontId="47" fillId="7" borderId="0" xfId="2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1" fontId="67" fillId="33" borderId="45" xfId="0" applyNumberFormat="1" applyFont="1" applyFill="1" applyBorder="1" applyAlignment="1">
      <alignment horizontal="center" vertical="center"/>
    </xf>
    <xf numFmtId="0" fontId="4" fillId="0" borderId="0" xfId="2" applyFont="1"/>
    <xf numFmtId="170" fontId="50" fillId="3" borderId="36" xfId="2" applyNumberFormat="1" applyFont="1" applyFill="1" applyBorder="1" applyAlignment="1" applyProtection="1">
      <alignment horizontal="center" vertical="center"/>
      <protection locked="0"/>
    </xf>
    <xf numFmtId="170" fontId="47" fillId="3" borderId="36" xfId="2" applyNumberFormat="1" applyFont="1" applyFill="1" applyBorder="1" applyAlignment="1">
      <alignment horizontal="center" vertical="center"/>
    </xf>
    <xf numFmtId="170" fontId="50" fillId="3" borderId="36" xfId="1" applyNumberFormat="1" applyFont="1" applyFill="1" applyBorder="1" applyAlignment="1" applyProtection="1">
      <alignment horizontal="center" vertical="center" wrapText="1"/>
      <protection locked="0"/>
    </xf>
    <xf numFmtId="170" fontId="51" fillId="3" borderId="36" xfId="1" applyNumberFormat="1" applyFont="1" applyFill="1" applyBorder="1" applyAlignment="1" applyProtection="1">
      <alignment horizontal="center" vertical="center" wrapText="1"/>
      <protection locked="0"/>
    </xf>
    <xf numFmtId="170" fontId="50" fillId="3" borderId="37" xfId="2" applyNumberFormat="1" applyFont="1" applyFill="1" applyBorder="1" applyAlignment="1" applyProtection="1">
      <alignment horizontal="center" vertical="center"/>
      <protection locked="0"/>
    </xf>
    <xf numFmtId="1" fontId="51" fillId="3" borderId="36" xfId="1" applyNumberFormat="1" applyFont="1" applyFill="1" applyBorder="1" applyAlignment="1" applyProtection="1">
      <alignment horizontal="center" vertical="center" wrapText="1"/>
      <protection locked="0"/>
    </xf>
    <xf numFmtId="0" fontId="50" fillId="9" borderId="36" xfId="2" applyFont="1" applyFill="1" applyBorder="1" applyAlignment="1" applyProtection="1">
      <alignment horizontal="center" vertical="center"/>
      <protection locked="0"/>
    </xf>
    <xf numFmtId="170" fontId="50" fillId="9" borderId="36" xfId="1" applyNumberFormat="1" applyFont="1" applyFill="1" applyBorder="1" applyAlignment="1" applyProtection="1">
      <alignment horizontal="center" vertical="center" wrapText="1"/>
      <protection locked="0"/>
    </xf>
    <xf numFmtId="0" fontId="48" fillId="9" borderId="36" xfId="2" applyFont="1" applyFill="1" applyBorder="1" applyAlignment="1" applyProtection="1">
      <alignment horizontal="center"/>
      <protection locked="0"/>
    </xf>
    <xf numFmtId="0" fontId="48" fillId="9" borderId="37" xfId="2" applyFont="1" applyFill="1" applyBorder="1" applyAlignment="1" applyProtection="1">
      <alignment horizontal="center"/>
      <protection locked="0"/>
    </xf>
    <xf numFmtId="170" fontId="48" fillId="3" borderId="36" xfId="2" applyNumberFormat="1" applyFont="1" applyFill="1" applyBorder="1" applyAlignment="1" applyProtection="1">
      <alignment horizontal="center"/>
      <protection locked="0"/>
    </xf>
    <xf numFmtId="0" fontId="2" fillId="5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7" fillId="7" borderId="0" xfId="2" applyFont="1" applyFill="1" applyBorder="1" applyAlignment="1">
      <alignment horizontal="center" vertical="center"/>
    </xf>
    <xf numFmtId="0" fontId="47" fillId="7" borderId="0" xfId="2" applyFont="1" applyFill="1" applyBorder="1" applyAlignment="1">
      <alignment horizontal="left" vertical="center"/>
    </xf>
    <xf numFmtId="0" fontId="57" fillId="0" borderId="1" xfId="0" applyFont="1" applyBorder="1" applyAlignment="1">
      <alignment horizontal="center"/>
    </xf>
    <xf numFmtId="0" fontId="2" fillId="0" borderId="16" xfId="0" applyFont="1" applyBorder="1"/>
    <xf numFmtId="0" fontId="50" fillId="9" borderId="1" xfId="2" applyFont="1" applyFill="1" applyBorder="1" applyAlignment="1" applyProtection="1">
      <alignment horizontal="center" vertical="center"/>
      <protection locked="0"/>
    </xf>
    <xf numFmtId="170" fontId="7" fillId="0" borderId="44" xfId="2" applyNumberFormat="1" applyFont="1" applyFill="1" applyBorder="1" applyAlignment="1">
      <alignment horizontal="center"/>
    </xf>
    <xf numFmtId="170" fontId="7" fillId="0" borderId="36" xfId="2" applyNumberFormat="1" applyFont="1" applyFill="1" applyBorder="1" applyAlignment="1">
      <alignment horizontal="center"/>
    </xf>
    <xf numFmtId="1" fontId="7" fillId="0" borderId="22" xfId="2" applyNumberFormat="1" applyFont="1" applyFill="1" applyBorder="1"/>
    <xf numFmtId="1" fontId="5" fillId="0" borderId="1" xfId="2" applyNumberFormat="1" applyFont="1" applyFill="1" applyBorder="1" applyAlignment="1">
      <alignment wrapText="1"/>
    </xf>
    <xf numFmtId="1" fontId="7" fillId="0" borderId="1" xfId="2" applyNumberFormat="1" applyFont="1" applyFill="1" applyBorder="1" applyAlignment="1">
      <alignment horizontal="center" wrapText="1"/>
    </xf>
    <xf numFmtId="0" fontId="7" fillId="0" borderId="62" xfId="2" applyFont="1" applyFill="1" applyBorder="1" applyAlignment="1">
      <alignment horizontal="left" vertical="center" wrapText="1"/>
    </xf>
    <xf numFmtId="0" fontId="50" fillId="7" borderId="0" xfId="2" applyFont="1" applyFill="1" applyBorder="1" applyAlignment="1" applyProtection="1">
      <alignment horizontal="center" vertical="center"/>
      <protection locked="0"/>
    </xf>
    <xf numFmtId="0" fontId="48" fillId="9" borderId="0" xfId="2" applyFont="1" applyFill="1" applyBorder="1" applyAlignment="1" applyProtection="1">
      <alignment horizontal="center"/>
      <protection locked="0"/>
    </xf>
    <xf numFmtId="0" fontId="47" fillId="0" borderId="63" xfId="2" applyFont="1" applyFill="1" applyBorder="1" applyAlignment="1">
      <alignment horizontal="center" vertical="center"/>
    </xf>
    <xf numFmtId="3" fontId="7" fillId="0" borderId="0" xfId="2" applyNumberFormat="1" applyFont="1" applyFill="1" applyBorder="1"/>
    <xf numFmtId="0" fontId="12" fillId="0" borderId="1" xfId="2" applyFont="1" applyFill="1" applyBorder="1"/>
    <xf numFmtId="1" fontId="12" fillId="0" borderId="1" xfId="2" applyNumberFormat="1" applyFont="1" applyFill="1" applyBorder="1" applyAlignment="1">
      <alignment wrapText="1"/>
    </xf>
    <xf numFmtId="0" fontId="12" fillId="0" borderId="1" xfId="2" applyFont="1" applyFill="1" applyBorder="1" applyAlignment="1">
      <alignment wrapText="1"/>
    </xf>
    <xf numFmtId="0" fontId="7" fillId="0" borderId="18" xfId="2" applyFont="1" applyFill="1" applyBorder="1"/>
    <xf numFmtId="170" fontId="7" fillId="0" borderId="36" xfId="2" applyNumberFormat="1" applyFont="1" applyFill="1" applyBorder="1" applyAlignment="1">
      <alignment horizontal="center" wrapText="1"/>
    </xf>
    <xf numFmtId="0" fontId="7" fillId="0" borderId="18" xfId="2" applyFont="1" applyFill="1" applyBorder="1" applyAlignment="1">
      <alignment wrapText="1"/>
    </xf>
    <xf numFmtId="0" fontId="7" fillId="0" borderId="6" xfId="2" applyFont="1" applyFill="1" applyBorder="1"/>
    <xf numFmtId="0" fontId="7" fillId="0" borderId="14" xfId="2" applyFont="1" applyFill="1" applyBorder="1"/>
    <xf numFmtId="0" fontId="73" fillId="0" borderId="43" xfId="2" applyFont="1" applyFill="1" applyBorder="1"/>
    <xf numFmtId="0" fontId="7" fillId="0" borderId="0" xfId="2" applyFont="1" applyFill="1"/>
    <xf numFmtId="0" fontId="12" fillId="0" borderId="18" xfId="2" applyFont="1" applyFill="1" applyBorder="1"/>
    <xf numFmtId="1" fontId="12" fillId="0" borderId="36" xfId="2" applyNumberFormat="1" applyFont="1" applyFill="1" applyBorder="1"/>
    <xf numFmtId="3" fontId="7" fillId="0" borderId="19" xfId="2" applyNumberFormat="1" applyFont="1" applyFill="1" applyBorder="1" applyAlignment="1">
      <alignment horizontal="center"/>
    </xf>
    <xf numFmtId="3" fontId="7" fillId="0" borderId="19" xfId="2" applyNumberFormat="1" applyFont="1" applyFill="1" applyBorder="1"/>
    <xf numFmtId="3" fontId="12" fillId="0" borderId="19" xfId="6" applyNumberFormat="1" applyFont="1" applyFill="1" applyBorder="1"/>
    <xf numFmtId="3" fontId="7" fillId="0" borderId="8" xfId="2" applyNumberFormat="1" applyFont="1" applyFill="1" applyBorder="1"/>
    <xf numFmtId="3" fontId="17" fillId="34" borderId="5" xfId="0" applyNumberFormat="1" applyFont="1" applyFill="1" applyBorder="1" applyAlignment="1">
      <alignment horizontal="center"/>
    </xf>
    <xf numFmtId="3" fontId="17" fillId="34" borderId="4" xfId="0" applyNumberFormat="1" applyFont="1" applyFill="1" applyBorder="1" applyAlignment="1">
      <alignment horizontal="center"/>
    </xf>
    <xf numFmtId="0" fontId="75" fillId="34" borderId="16" xfId="2" applyFont="1" applyFill="1" applyBorder="1" applyAlignment="1">
      <alignment horizontal="left" vertical="center" wrapText="1"/>
    </xf>
    <xf numFmtId="0" fontId="75" fillId="34" borderId="16" xfId="2" applyFont="1" applyFill="1" applyBorder="1" applyAlignment="1">
      <alignment horizontal="center" vertical="center" wrapText="1"/>
    </xf>
    <xf numFmtId="170" fontId="75" fillId="34" borderId="5" xfId="2" applyNumberFormat="1" applyFont="1" applyFill="1" applyBorder="1" applyAlignment="1">
      <alignment horizontal="center"/>
    </xf>
    <xf numFmtId="2" fontId="75" fillId="34" borderId="5" xfId="2" applyNumberFormat="1" applyFont="1" applyFill="1" applyBorder="1" applyAlignment="1">
      <alignment horizontal="center" wrapText="1"/>
    </xf>
    <xf numFmtId="0" fontId="76" fillId="34" borderId="16" xfId="2" applyFont="1" applyFill="1" applyBorder="1" applyAlignment="1">
      <alignment horizontal="left" vertical="center" wrapText="1"/>
    </xf>
    <xf numFmtId="0" fontId="17" fillId="34" borderId="16" xfId="0" applyFont="1" applyFill="1" applyBorder="1" applyAlignment="1">
      <alignment horizontal="center" vertical="center" wrapText="1"/>
    </xf>
    <xf numFmtId="0" fontId="49" fillId="36" borderId="6" xfId="0" applyFont="1" applyFill="1" applyBorder="1" applyAlignment="1">
      <alignment horizontal="center"/>
    </xf>
    <xf numFmtId="0" fontId="49" fillId="36" borderId="3" xfId="0" applyFont="1" applyFill="1" applyBorder="1" applyAlignment="1">
      <alignment horizontal="center" vertical="center"/>
    </xf>
    <xf numFmtId="0" fontId="75" fillId="36" borderId="7" xfId="2" applyFont="1" applyFill="1" applyBorder="1" applyAlignment="1">
      <alignment horizontal="left" vertical="center"/>
    </xf>
    <xf numFmtId="0" fontId="11" fillId="36" borderId="3" xfId="0" applyFont="1" applyFill="1" applyBorder="1"/>
    <xf numFmtId="0" fontId="49" fillId="36" borderId="4" xfId="0" applyFont="1" applyFill="1" applyBorder="1"/>
    <xf numFmtId="170" fontId="75" fillId="36" borderId="6" xfId="2" applyNumberFormat="1" applyFont="1" applyFill="1" applyBorder="1" applyAlignment="1">
      <alignment horizontal="center"/>
    </xf>
    <xf numFmtId="0" fontId="0" fillId="0" borderId="56" xfId="0" applyFill="1" applyBorder="1"/>
    <xf numFmtId="0" fontId="74" fillId="36" borderId="1" xfId="0" applyFont="1" applyFill="1" applyBorder="1" applyAlignment="1">
      <alignment horizontal="center" vertical="center"/>
    </xf>
    <xf numFmtId="0" fontId="56" fillId="36" borderId="1" xfId="2" applyFont="1" applyFill="1" applyBorder="1" applyAlignment="1">
      <alignment horizontal="left" vertical="center"/>
    </xf>
    <xf numFmtId="0" fontId="68" fillId="36" borderId="1" xfId="0" applyFont="1" applyFill="1" applyBorder="1"/>
    <xf numFmtId="0" fontId="61" fillId="0" borderId="47" xfId="2" applyFont="1" applyBorder="1" applyAlignment="1">
      <alignment horizontal="center" vertical="center"/>
    </xf>
    <xf numFmtId="0" fontId="61" fillId="0" borderId="1" xfId="2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70" fontId="58" fillId="2" borderId="2" xfId="0" applyNumberFormat="1" applyFont="1" applyFill="1" applyBorder="1" applyAlignment="1">
      <alignment horizontal="left" vertical="center"/>
    </xf>
    <xf numFmtId="170" fontId="58" fillId="2" borderId="2" xfId="0" applyNumberFormat="1" applyFont="1" applyFill="1" applyBorder="1" applyAlignment="1">
      <alignment horizontal="center" vertical="center"/>
    </xf>
    <xf numFmtId="1" fontId="77" fillId="2" borderId="9" xfId="0" applyNumberFormat="1" applyFont="1" applyFill="1" applyBorder="1" applyAlignment="1">
      <alignment horizontal="center" vertical="center"/>
    </xf>
    <xf numFmtId="170" fontId="58" fillId="31" borderId="1" xfId="0" applyNumberFormat="1" applyFont="1" applyFill="1" applyBorder="1" applyAlignment="1">
      <alignment horizontal="center" vertical="center"/>
    </xf>
    <xf numFmtId="10" fontId="2" fillId="3" borderId="10" xfId="7" applyNumberFormat="1" applyFont="1" applyFill="1" applyBorder="1"/>
    <xf numFmtId="170" fontId="7" fillId="0" borderId="1" xfId="2" applyNumberFormat="1" applyFont="1" applyFill="1" applyBorder="1" applyAlignment="1">
      <alignment horizontal="center" wrapText="1"/>
    </xf>
    <xf numFmtId="0" fontId="80" fillId="0" borderId="0" xfId="137"/>
    <xf numFmtId="0" fontId="81" fillId="0" borderId="0" xfId="137" applyFont="1"/>
    <xf numFmtId="0" fontId="82" fillId="0" borderId="0" xfId="137" applyFont="1"/>
    <xf numFmtId="0" fontId="83" fillId="0" borderId="64" xfId="137" applyFont="1" applyBorder="1"/>
    <xf numFmtId="3" fontId="83" fillId="0" borderId="64" xfId="137" applyNumberFormat="1" applyFont="1" applyBorder="1" applyAlignment="1">
      <alignment horizontal="center"/>
    </xf>
    <xf numFmtId="3" fontId="83" fillId="0" borderId="65" xfId="137" applyNumberFormat="1" applyFont="1" applyBorder="1" applyAlignment="1">
      <alignment horizontal="center"/>
    </xf>
    <xf numFmtId="0" fontId="83" fillId="0" borderId="65" xfId="137" applyFont="1" applyBorder="1" applyAlignment="1">
      <alignment horizontal="center"/>
    </xf>
    <xf numFmtId="0" fontId="83" fillId="0" borderId="65" xfId="137" applyFont="1" applyBorder="1" applyAlignment="1">
      <alignment horizontal="left"/>
    </xf>
    <xf numFmtId="3" fontId="84" fillId="39" borderId="64" xfId="137" applyNumberFormat="1" applyFont="1" applyFill="1" applyBorder="1" applyAlignment="1">
      <alignment horizontal="center" vertical="center" wrapText="1"/>
    </xf>
    <xf numFmtId="0" fontId="85" fillId="0" borderId="64" xfId="137" applyFont="1" applyBorder="1" applyAlignment="1">
      <alignment horizontal="center"/>
    </xf>
    <xf numFmtId="0" fontId="86" fillId="0" borderId="64" xfId="137" applyFont="1" applyBorder="1"/>
    <xf numFmtId="0" fontId="87" fillId="0" borderId="64" xfId="137" applyFont="1" applyBorder="1"/>
    <xf numFmtId="0" fontId="81" fillId="0" borderId="66" xfId="137" applyFont="1" applyBorder="1"/>
    <xf numFmtId="0" fontId="83" fillId="0" borderId="0" xfId="137" applyFont="1" applyAlignment="1">
      <alignment horizontal="center"/>
    </xf>
    <xf numFmtId="3" fontId="84" fillId="40" borderId="64" xfId="137" applyNumberFormat="1" applyFont="1" applyFill="1" applyBorder="1" applyAlignment="1">
      <alignment horizontal="center" vertical="center" wrapText="1"/>
    </xf>
    <xf numFmtId="4" fontId="84" fillId="39" borderId="64" xfId="137" applyNumberFormat="1" applyFont="1" applyFill="1" applyBorder="1" applyAlignment="1">
      <alignment horizontal="center" vertical="center" wrapText="1"/>
    </xf>
    <xf numFmtId="3" fontId="88" fillId="39" borderId="64" xfId="137" applyNumberFormat="1" applyFont="1" applyFill="1" applyBorder="1" applyAlignment="1">
      <alignment horizontal="center" vertical="center" wrapText="1"/>
    </xf>
    <xf numFmtId="3" fontId="84" fillId="41" borderId="64" xfId="137" applyNumberFormat="1" applyFont="1" applyFill="1" applyBorder="1" applyAlignment="1">
      <alignment horizontal="center" vertical="center" wrapText="1"/>
    </xf>
    <xf numFmtId="0" fontId="90" fillId="40" borderId="64" xfId="137" applyFont="1" applyFill="1" applyBorder="1" applyAlignment="1">
      <alignment horizontal="center"/>
    </xf>
    <xf numFmtId="4" fontId="84" fillId="40" borderId="64" xfId="137" applyNumberFormat="1" applyFont="1" applyFill="1" applyBorder="1" applyAlignment="1">
      <alignment horizontal="center" vertical="center" wrapText="1"/>
    </xf>
    <xf numFmtId="2" fontId="83" fillId="0" borderId="64" xfId="137" applyNumberFormat="1" applyFont="1" applyBorder="1" applyAlignment="1">
      <alignment horizontal="center"/>
    </xf>
    <xf numFmtId="0" fontId="91" fillId="38" borderId="64" xfId="137" applyFont="1" applyFill="1" applyBorder="1"/>
    <xf numFmtId="0" fontId="83" fillId="42" borderId="0" xfId="137" applyFont="1" applyFill="1" applyAlignment="1">
      <alignment horizontal="center"/>
    </xf>
    <xf numFmtId="0" fontId="86" fillId="42" borderId="64" xfId="137" applyFont="1" applyFill="1" applyBorder="1"/>
    <xf numFmtId="0" fontId="81" fillId="0" borderId="64" xfId="137" applyFont="1" applyBorder="1"/>
    <xf numFmtId="0" fontId="81" fillId="0" borderId="67" xfId="137" applyFont="1" applyBorder="1"/>
    <xf numFmtId="187" fontId="84" fillId="39" borderId="64" xfId="137" applyNumberFormat="1" applyFont="1" applyFill="1" applyBorder="1" applyAlignment="1">
      <alignment horizontal="center" vertical="center" wrapText="1"/>
    </xf>
    <xf numFmtId="0" fontId="83" fillId="43" borderId="64" xfId="137" applyFont="1" applyFill="1" applyBorder="1" applyAlignment="1">
      <alignment horizontal="center"/>
    </xf>
    <xf numFmtId="0" fontId="83" fillId="0" borderId="64" xfId="137" applyFont="1" applyBorder="1" applyAlignment="1">
      <alignment horizontal="center"/>
    </xf>
    <xf numFmtId="0" fontId="83" fillId="41" borderId="64" xfId="137" applyFont="1" applyFill="1" applyBorder="1" applyAlignment="1">
      <alignment horizontal="center"/>
    </xf>
    <xf numFmtId="0" fontId="92" fillId="44" borderId="0" xfId="137" applyFont="1" applyFill="1"/>
    <xf numFmtId="0" fontId="92" fillId="0" borderId="0" xfId="137" applyFont="1"/>
    <xf numFmtId="0" fontId="81" fillId="0" borderId="68" xfId="137" applyFont="1" applyBorder="1"/>
    <xf numFmtId="0" fontId="83" fillId="0" borderId="0" xfId="137" applyFont="1"/>
    <xf numFmtId="0" fontId="83" fillId="39" borderId="64" xfId="137" applyFont="1" applyFill="1" applyBorder="1" applyAlignment="1">
      <alignment horizontal="center"/>
    </xf>
    <xf numFmtId="0" fontId="83" fillId="44" borderId="66" xfId="137" applyFont="1" applyFill="1" applyBorder="1"/>
    <xf numFmtId="0" fontId="83" fillId="0" borderId="66" xfId="137" applyFont="1" applyBorder="1" applyAlignment="1">
      <alignment horizontal="center"/>
    </xf>
    <xf numFmtId="0" fontId="83" fillId="39" borderId="64" xfId="137" applyFont="1" applyFill="1" applyBorder="1"/>
    <xf numFmtId="170" fontId="83" fillId="41" borderId="64" xfId="137" applyNumberFormat="1" applyFont="1" applyFill="1" applyBorder="1" applyAlignment="1">
      <alignment horizontal="center"/>
    </xf>
    <xf numFmtId="170" fontId="83" fillId="39" borderId="64" xfId="137" applyNumberFormat="1" applyFont="1" applyFill="1" applyBorder="1" applyAlignment="1">
      <alignment horizontal="center"/>
    </xf>
    <xf numFmtId="170" fontId="83" fillId="0" borderId="64" xfId="137" applyNumberFormat="1" applyFont="1" applyBorder="1" applyAlignment="1">
      <alignment horizontal="center"/>
    </xf>
    <xf numFmtId="1" fontId="83" fillId="44" borderId="66" xfId="137" applyNumberFormat="1" applyFont="1" applyFill="1" applyBorder="1" applyAlignment="1">
      <alignment horizontal="center"/>
    </xf>
    <xf numFmtId="170" fontId="83" fillId="41" borderId="69" xfId="137" applyNumberFormat="1" applyFont="1" applyFill="1" applyBorder="1" applyAlignment="1">
      <alignment horizontal="center"/>
    </xf>
    <xf numFmtId="170" fontId="88" fillId="0" borderId="0" xfId="137" applyNumberFormat="1" applyFont="1"/>
    <xf numFmtId="2" fontId="83" fillId="0" borderId="0" xfId="137" applyNumberFormat="1" applyFont="1" applyAlignment="1">
      <alignment horizontal="center"/>
    </xf>
    <xf numFmtId="0" fontId="91" fillId="0" borderId="64" xfId="137" applyFont="1" applyBorder="1" applyAlignment="1">
      <alignment horizontal="center"/>
    </xf>
    <xf numFmtId="170" fontId="91" fillId="0" borderId="64" xfId="137" applyNumberFormat="1" applyFont="1" applyBorder="1" applyAlignment="1">
      <alignment horizontal="center"/>
    </xf>
    <xf numFmtId="170" fontId="81" fillId="0" borderId="0" xfId="137" applyNumberFormat="1" applyFont="1"/>
    <xf numFmtId="0" fontId="91" fillId="0" borderId="71" xfId="137" applyFont="1" applyBorder="1" applyAlignment="1">
      <alignment horizontal="center"/>
    </xf>
    <xf numFmtId="0" fontId="83" fillId="44" borderId="64" xfId="137" applyFont="1" applyFill="1" applyBorder="1" applyAlignment="1">
      <alignment horizontal="center"/>
    </xf>
    <xf numFmtId="188" fontId="83" fillId="0" borderId="64" xfId="137" applyNumberFormat="1" applyFont="1" applyBorder="1" applyAlignment="1">
      <alignment horizontal="center"/>
    </xf>
    <xf numFmtId="170" fontId="91" fillId="42" borderId="0" xfId="137" applyNumberFormat="1" applyFont="1" applyFill="1" applyAlignment="1">
      <alignment horizontal="center"/>
    </xf>
    <xf numFmtId="170" fontId="83" fillId="44" borderId="64" xfId="137" applyNumberFormat="1" applyFont="1" applyFill="1" applyBorder="1" applyAlignment="1">
      <alignment horizontal="center"/>
    </xf>
    <xf numFmtId="0" fontId="67" fillId="0" borderId="0" xfId="0" applyFont="1"/>
    <xf numFmtId="0" fontId="67" fillId="0" borderId="36" xfId="0" applyFont="1" applyBorder="1"/>
    <xf numFmtId="0" fontId="2" fillId="0" borderId="36" xfId="0" applyFont="1" applyBorder="1"/>
    <xf numFmtId="0" fontId="70" fillId="35" borderId="0" xfId="0" applyFont="1" applyFill="1" applyAlignment="1">
      <alignment horizontal="left" vertical="center"/>
    </xf>
    <xf numFmtId="0" fontId="2" fillId="0" borderId="36" xfId="0" applyFont="1" applyBorder="1" applyAlignment="1">
      <alignment vertical="center" wrapText="1"/>
    </xf>
    <xf numFmtId="170" fontId="11" fillId="6" borderId="0" xfId="0" applyNumberFormat="1" applyFont="1" applyFill="1" applyAlignment="1">
      <alignment horizontal="right"/>
    </xf>
    <xf numFmtId="170" fontId="11" fillId="32" borderId="36" xfId="0" applyNumberFormat="1" applyFont="1" applyFill="1" applyBorder="1" applyAlignment="1">
      <alignment horizontal="center" vertical="center" wrapText="1"/>
    </xf>
    <xf numFmtId="170" fontId="11" fillId="6" borderId="36" xfId="0" applyNumberFormat="1" applyFont="1" applyFill="1" applyBorder="1" applyAlignment="1">
      <alignment horizontal="center" vertical="center" wrapText="1"/>
    </xf>
    <xf numFmtId="1" fontId="2" fillId="6" borderId="36" xfId="0" applyNumberFormat="1" applyFont="1" applyFill="1" applyBorder="1"/>
    <xf numFmtId="0" fontId="2" fillId="6" borderId="36" xfId="0" applyFont="1" applyFill="1" applyBorder="1"/>
    <xf numFmtId="0" fontId="2" fillId="6" borderId="36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1" fontId="2" fillId="32" borderId="36" xfId="0" applyNumberFormat="1" applyFont="1" applyFill="1" applyBorder="1"/>
    <xf numFmtId="1" fontId="2" fillId="7" borderId="36" xfId="0" applyNumberFormat="1" applyFont="1" applyFill="1" applyBorder="1"/>
    <xf numFmtId="3" fontId="2" fillId="0" borderId="36" xfId="0" applyNumberFormat="1" applyFont="1" applyBorder="1" applyAlignment="1">
      <alignment horizontal="center" vertical="center"/>
    </xf>
    <xf numFmtId="1" fontId="0" fillId="32" borderId="36" xfId="0" applyNumberFormat="1" applyFill="1" applyBorder="1" applyAlignment="1">
      <alignment horizontal="center"/>
    </xf>
    <xf numFmtId="1" fontId="2" fillId="3" borderId="36" xfId="0" applyNumberFormat="1" applyFont="1" applyFill="1" applyBorder="1"/>
    <xf numFmtId="9" fontId="2" fillId="0" borderId="73" xfId="0" applyNumberFormat="1" applyFont="1" applyBorder="1" applyAlignment="1">
      <alignment horizontal="center"/>
    </xf>
    <xf numFmtId="0" fontId="10" fillId="6" borderId="36" xfId="0" applyFont="1" applyFill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0" fontId="57" fillId="6" borderId="36" xfId="0" applyFont="1" applyFill="1" applyBorder="1" applyAlignment="1">
      <alignment wrapText="1"/>
    </xf>
    <xf numFmtId="0" fontId="57" fillId="0" borderId="16" xfId="0" applyFont="1" applyBorder="1" applyAlignment="1">
      <alignment horizontal="center"/>
    </xf>
    <xf numFmtId="0" fontId="57" fillId="0" borderId="36" xfId="0" applyFont="1" applyBorder="1" applyAlignment="1">
      <alignment horizontal="center"/>
    </xf>
    <xf numFmtId="1" fontId="57" fillId="0" borderId="36" xfId="0" applyNumberFormat="1" applyFont="1" applyBorder="1" applyAlignment="1">
      <alignment horizontal="center"/>
    </xf>
    <xf numFmtId="3" fontId="2" fillId="3" borderId="36" xfId="0" applyNumberFormat="1" applyFont="1" applyFill="1" applyBorder="1"/>
    <xf numFmtId="0" fontId="0" fillId="0" borderId="36" xfId="0" applyBorder="1" applyAlignment="1">
      <alignment horizontal="center"/>
    </xf>
    <xf numFmtId="9" fontId="2" fillId="0" borderId="36" xfId="0" applyNumberFormat="1" applyFont="1" applyBorder="1" applyAlignment="1">
      <alignment horizontal="center"/>
    </xf>
    <xf numFmtId="0" fontId="13" fillId="6" borderId="36" xfId="0" applyFont="1" applyFill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0" fillId="0" borderId="36" xfId="0" applyBorder="1" applyAlignment="1">
      <alignment wrapText="1"/>
    </xf>
    <xf numFmtId="1" fontId="2" fillId="6" borderId="0" xfId="0" applyNumberFormat="1" applyFont="1" applyFill="1"/>
    <xf numFmtId="3" fontId="8" fillId="0" borderId="37" xfId="0" applyNumberFormat="1" applyFont="1" applyBorder="1" applyAlignment="1">
      <alignment horizontal="center"/>
    </xf>
    <xf numFmtId="0" fontId="72" fillId="6" borderId="36" xfId="0" applyFont="1" applyFill="1" applyBorder="1" applyAlignment="1">
      <alignment horizontal="center" wrapText="1"/>
    </xf>
    <xf numFmtId="3" fontId="8" fillId="6" borderId="36" xfId="0" applyNumberFormat="1" applyFont="1" applyFill="1" applyBorder="1" applyAlignment="1">
      <alignment horizontal="center" wrapText="1"/>
    </xf>
    <xf numFmtId="3" fontId="9" fillId="6" borderId="36" xfId="0" applyNumberFormat="1" applyFont="1" applyFill="1" applyBorder="1"/>
    <xf numFmtId="3" fontId="8" fillId="0" borderId="16" xfId="0" applyNumberFormat="1" applyFont="1" applyBorder="1" applyAlignment="1">
      <alignment horizontal="center"/>
    </xf>
    <xf numFmtId="0" fontId="0" fillId="46" borderId="0" xfId="0" applyFill="1"/>
    <xf numFmtId="3" fontId="8" fillId="0" borderId="24" xfId="0" applyNumberFormat="1" applyFont="1" applyBorder="1" applyAlignment="1">
      <alignment horizontal="center"/>
    </xf>
    <xf numFmtId="0" fontId="85" fillId="47" borderId="64" xfId="137" applyFont="1" applyFill="1" applyBorder="1" applyAlignment="1">
      <alignment horizontal="center"/>
    </xf>
    <xf numFmtId="3" fontId="90" fillId="47" borderId="64" xfId="137" applyNumberFormat="1" applyFont="1" applyFill="1" applyBorder="1" applyAlignment="1">
      <alignment horizontal="center"/>
    </xf>
    <xf numFmtId="0" fontId="80" fillId="8" borderId="0" xfId="137" applyFill="1"/>
    <xf numFmtId="0" fontId="83" fillId="37" borderId="65" xfId="137" applyFont="1" applyFill="1" applyBorder="1" applyAlignment="1">
      <alignment horizontal="center"/>
    </xf>
    <xf numFmtId="3" fontId="89" fillId="37" borderId="64" xfId="137" applyNumberFormat="1" applyFont="1" applyFill="1" applyBorder="1" applyAlignment="1">
      <alignment horizontal="center"/>
    </xf>
    <xf numFmtId="0" fontId="80" fillId="37" borderId="0" xfId="137" applyFill="1"/>
    <xf numFmtId="0" fontId="95" fillId="0" borderId="0" xfId="137" applyFont="1"/>
    <xf numFmtId="0" fontId="95" fillId="0" borderId="0" xfId="137" applyFont="1" applyAlignment="1">
      <alignment horizontal="center"/>
    </xf>
    <xf numFmtId="0" fontId="95" fillId="4" borderId="0" xfId="137" applyFont="1" applyFill="1"/>
    <xf numFmtId="0" fontId="80" fillId="4" borderId="0" xfId="137" applyFill="1"/>
    <xf numFmtId="0" fontId="86" fillId="4" borderId="64" xfId="137" applyFont="1" applyFill="1" applyBorder="1"/>
    <xf numFmtId="3" fontId="84" fillId="39" borderId="65" xfId="137" applyNumberFormat="1" applyFont="1" applyFill="1" applyBorder="1" applyAlignment="1">
      <alignment horizontal="center" vertical="center" wrapText="1"/>
    </xf>
    <xf numFmtId="3" fontId="84" fillId="40" borderId="65" xfId="137" applyNumberFormat="1" applyFont="1" applyFill="1" applyBorder="1" applyAlignment="1">
      <alignment horizontal="center" vertical="center" wrapText="1"/>
    </xf>
    <xf numFmtId="186" fontId="84" fillId="39" borderId="65" xfId="137" applyNumberFormat="1" applyFont="1" applyFill="1" applyBorder="1" applyAlignment="1">
      <alignment horizontal="center" vertical="center" wrapText="1"/>
    </xf>
    <xf numFmtId="3" fontId="88" fillId="39" borderId="65" xfId="137" applyNumberFormat="1" applyFont="1" applyFill="1" applyBorder="1" applyAlignment="1">
      <alignment horizontal="center" vertical="center" wrapText="1"/>
    </xf>
    <xf numFmtId="3" fontId="84" fillId="41" borderId="65" xfId="137" applyNumberFormat="1" applyFont="1" applyFill="1" applyBorder="1" applyAlignment="1">
      <alignment horizontal="center" vertical="center" wrapText="1"/>
    </xf>
    <xf numFmtId="3" fontId="89" fillId="37" borderId="65" xfId="137" applyNumberFormat="1" applyFont="1" applyFill="1" applyBorder="1" applyAlignment="1">
      <alignment horizontal="center"/>
    </xf>
    <xf numFmtId="3" fontId="48" fillId="39" borderId="72" xfId="137" applyNumberFormat="1" applyFont="1" applyFill="1" applyBorder="1" applyAlignment="1">
      <alignment horizontal="center" vertical="center" wrapText="1"/>
    </xf>
    <xf numFmtId="3" fontId="47" fillId="41" borderId="72" xfId="137" applyNumberFormat="1" applyFont="1" applyFill="1" applyBorder="1" applyAlignment="1">
      <alignment horizontal="center" vertical="center" wrapText="1"/>
    </xf>
    <xf numFmtId="3" fontId="96" fillId="37" borderId="72" xfId="137" applyNumberFormat="1" applyFont="1" applyFill="1" applyBorder="1" applyAlignment="1">
      <alignment horizontal="center"/>
    </xf>
    <xf numFmtId="0" fontId="71" fillId="40" borderId="72" xfId="137" applyFont="1" applyFill="1" applyBorder="1" applyAlignment="1">
      <alignment horizontal="center"/>
    </xf>
    <xf numFmtId="3" fontId="71" fillId="47" borderId="72" xfId="137" applyNumberFormat="1" applyFont="1" applyFill="1" applyBorder="1" applyAlignment="1">
      <alignment horizontal="center"/>
    </xf>
    <xf numFmtId="3" fontId="84" fillId="40" borderId="72" xfId="137" applyNumberFormat="1" applyFont="1" applyFill="1" applyBorder="1" applyAlignment="1">
      <alignment horizontal="center" vertical="center" wrapText="1"/>
    </xf>
    <xf numFmtId="3" fontId="83" fillId="46" borderId="36" xfId="137" applyNumberFormat="1" applyFont="1" applyFill="1" applyBorder="1" applyAlignment="1">
      <alignment horizontal="center"/>
    </xf>
    <xf numFmtId="3" fontId="79" fillId="49" borderId="64" xfId="137" applyNumberFormat="1" applyFont="1" applyFill="1" applyBorder="1" applyAlignment="1">
      <alignment horizontal="center"/>
    </xf>
    <xf numFmtId="0" fontId="79" fillId="49" borderId="0" xfId="137" applyFont="1" applyFill="1" applyAlignment="1">
      <alignment horizontal="center"/>
    </xf>
    <xf numFmtId="3" fontId="78" fillId="49" borderId="64" xfId="137" applyNumberFormat="1" applyFont="1" applyFill="1" applyBorder="1" applyAlignment="1">
      <alignment horizontal="center" vertical="center" wrapText="1"/>
    </xf>
    <xf numFmtId="0" fontId="98" fillId="49" borderId="0" xfId="137" applyFont="1" applyFill="1"/>
    <xf numFmtId="3" fontId="78" fillId="50" borderId="64" xfId="137" applyNumberFormat="1" applyFont="1" applyFill="1" applyBorder="1" applyAlignment="1">
      <alignment horizontal="center" vertical="center" wrapText="1"/>
    </xf>
    <xf numFmtId="0" fontId="95" fillId="2" borderId="0" xfId="137" applyFont="1" applyFill="1"/>
    <xf numFmtId="185" fontId="89" fillId="37" borderId="64" xfId="137" applyNumberFormat="1" applyFont="1" applyFill="1" applyBorder="1" applyAlignment="1">
      <alignment horizontal="center"/>
    </xf>
    <xf numFmtId="185" fontId="94" fillId="48" borderId="64" xfId="137" applyNumberFormat="1" applyFont="1" applyFill="1" applyBorder="1" applyAlignment="1">
      <alignment horizontal="center" vertical="center"/>
    </xf>
    <xf numFmtId="3" fontId="79" fillId="49" borderId="65" xfId="137" applyNumberFormat="1" applyFont="1" applyFill="1" applyBorder="1" applyAlignment="1">
      <alignment horizontal="center"/>
    </xf>
    <xf numFmtId="0" fontId="90" fillId="40" borderId="72" xfId="137" applyFont="1" applyFill="1" applyBorder="1" applyAlignment="1">
      <alignment horizontal="center"/>
    </xf>
    <xf numFmtId="0" fontId="95" fillId="51" borderId="36" xfId="137" applyFont="1" applyFill="1" applyBorder="1"/>
    <xf numFmtId="3" fontId="79" fillId="52" borderId="36" xfId="137" applyNumberFormat="1" applyFont="1" applyFill="1" applyBorder="1" applyAlignment="1">
      <alignment horizontal="center"/>
    </xf>
    <xf numFmtId="4" fontId="90" fillId="47" borderId="64" xfId="137" applyNumberFormat="1" applyFont="1" applyFill="1" applyBorder="1" applyAlignment="1">
      <alignment horizontal="center"/>
    </xf>
    <xf numFmtId="186" fontId="90" fillId="47" borderId="64" xfId="137" applyNumberFormat="1" applyFont="1" applyFill="1" applyBorder="1" applyAlignment="1">
      <alignment horizontal="center"/>
    </xf>
    <xf numFmtId="4" fontId="99" fillId="48" borderId="64" xfId="137" applyNumberFormat="1" applyFont="1" applyFill="1" applyBorder="1" applyAlignment="1">
      <alignment horizontal="center" vertical="center"/>
    </xf>
    <xf numFmtId="3" fontId="97" fillId="0" borderId="72" xfId="137" applyNumberFormat="1" applyFont="1" applyBorder="1"/>
    <xf numFmtId="170" fontId="48" fillId="0" borderId="0" xfId="137" applyNumberFormat="1" applyFont="1"/>
    <xf numFmtId="0" fontId="100" fillId="0" borderId="0" xfId="137" applyFont="1"/>
    <xf numFmtId="0" fontId="16" fillId="0" borderId="0" xfId="136"/>
    <xf numFmtId="0" fontId="2" fillId="3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85" fontId="47" fillId="7" borderId="1" xfId="2" applyNumberFormat="1" applyFont="1" applyFill="1" applyBorder="1" applyAlignment="1">
      <alignment horizontal="center" vertical="center" wrapText="1"/>
    </xf>
    <xf numFmtId="0" fontId="101" fillId="34" borderId="1" xfId="19" applyFont="1" applyFill="1" applyBorder="1" applyAlignment="1">
      <alignment horizontal="left" vertical="center" wrapText="1"/>
    </xf>
    <xf numFmtId="0" fontId="102" fillId="34" borderId="1" xfId="19" applyFont="1" applyFill="1" applyBorder="1" applyAlignment="1">
      <alignment horizontal="center" vertical="center"/>
    </xf>
    <xf numFmtId="0" fontId="2" fillId="31" borderId="1" xfId="0" applyFont="1" applyFill="1" applyBorder="1" applyAlignment="1">
      <alignment horizontal="center"/>
    </xf>
    <xf numFmtId="0" fontId="101" fillId="0" borderId="1" xfId="19" applyFont="1" applyBorder="1" applyAlignment="1">
      <alignment horizontal="left" vertical="center"/>
    </xf>
    <xf numFmtId="0" fontId="102" fillId="0" borderId="1" xfId="19" applyFont="1" applyBorder="1" applyAlignment="1">
      <alignment horizontal="center" vertical="center"/>
    </xf>
    <xf numFmtId="170" fontId="102" fillId="0" borderId="1" xfId="19" applyNumberFormat="1" applyFont="1" applyBorder="1" applyAlignment="1">
      <alignment horizontal="center" vertical="center"/>
    </xf>
    <xf numFmtId="0" fontId="101" fillId="53" borderId="1" xfId="19" applyFont="1" applyFill="1" applyBorder="1" applyAlignment="1">
      <alignment horizontal="left" vertical="center" wrapText="1"/>
    </xf>
    <xf numFmtId="0" fontId="102" fillId="53" borderId="1" xfId="19" applyFont="1" applyFill="1" applyBorder="1" applyAlignment="1">
      <alignment horizontal="center" vertical="center"/>
    </xf>
    <xf numFmtId="2" fontId="91" fillId="38" borderId="64" xfId="137" applyNumberFormat="1" applyFont="1" applyFill="1" applyBorder="1" applyAlignment="1">
      <alignment horizontal="center"/>
    </xf>
    <xf numFmtId="3" fontId="47" fillId="7" borderId="73" xfId="2" applyNumberFormat="1" applyFont="1" applyFill="1" applyBorder="1" applyAlignment="1">
      <alignment horizontal="center" vertical="center" wrapText="1"/>
    </xf>
    <xf numFmtId="0" fontId="2" fillId="0" borderId="73" xfId="0" applyFont="1" applyBorder="1"/>
    <xf numFmtId="2" fontId="2" fillId="0" borderId="50" xfId="0" applyNumberFormat="1" applyFont="1" applyBorder="1" applyAlignment="1">
      <alignment horizontal="center"/>
    </xf>
    <xf numFmtId="0" fontId="2" fillId="0" borderId="50" xfId="0" applyFont="1" applyBorder="1"/>
    <xf numFmtId="1" fontId="70" fillId="0" borderId="1" xfId="0" applyNumberFormat="1" applyFont="1" applyBorder="1" applyAlignment="1">
      <alignment horizontal="center"/>
    </xf>
    <xf numFmtId="0" fontId="100" fillId="0" borderId="0" xfId="137" applyFont="1" applyAlignment="1">
      <alignment horizontal="left"/>
    </xf>
    <xf numFmtId="3" fontId="95" fillId="0" borderId="65" xfId="137" applyNumberFormat="1" applyFont="1" applyBorder="1" applyAlignment="1">
      <alignment horizontal="left"/>
    </xf>
    <xf numFmtId="3" fontId="84" fillId="54" borderId="64" xfId="137" applyNumberFormat="1" applyFont="1" applyFill="1" applyBorder="1" applyAlignment="1">
      <alignment horizontal="center" vertical="center" wrapText="1"/>
    </xf>
    <xf numFmtId="3" fontId="84" fillId="54" borderId="65" xfId="137" applyNumberFormat="1" applyFont="1" applyFill="1" applyBorder="1" applyAlignment="1">
      <alignment horizontal="center" vertical="center" wrapText="1"/>
    </xf>
    <xf numFmtId="174" fontId="90" fillId="40" borderId="64" xfId="137" applyNumberFormat="1" applyFont="1" applyFill="1" applyBorder="1" applyAlignment="1">
      <alignment horizontal="center"/>
    </xf>
    <xf numFmtId="3" fontId="83" fillId="0" borderId="70" xfId="137" applyNumberFormat="1" applyFont="1" applyBorder="1" applyAlignment="1">
      <alignment horizontal="center"/>
    </xf>
    <xf numFmtId="0" fontId="95" fillId="0" borderId="1" xfId="137" applyFont="1" applyBorder="1"/>
    <xf numFmtId="0" fontId="95" fillId="42" borderId="1" xfId="137" applyFont="1" applyFill="1" applyBorder="1"/>
    <xf numFmtId="0" fontId="100" fillId="4" borderId="1" xfId="137" applyFont="1" applyFill="1" applyBorder="1"/>
    <xf numFmtId="0" fontId="100" fillId="0" borderId="1" xfId="137" applyFont="1" applyBorder="1"/>
    <xf numFmtId="0" fontId="95" fillId="2" borderId="1" xfId="137" applyFont="1" applyFill="1" applyBorder="1"/>
    <xf numFmtId="0" fontId="103" fillId="55" borderId="0" xfId="137" applyFont="1" applyFill="1"/>
    <xf numFmtId="0" fontId="103" fillId="55" borderId="0" xfId="137" applyFont="1" applyFill="1" applyAlignment="1">
      <alignment horizontal="center"/>
    </xf>
    <xf numFmtId="170" fontId="50" fillId="0" borderId="1" xfId="137" applyNumberFormat="1" applyFont="1" applyBorder="1" applyAlignment="1">
      <alignment horizontal="center"/>
    </xf>
    <xf numFmtId="0" fontId="104" fillId="0" borderId="0" xfId="137" applyFont="1"/>
    <xf numFmtId="170" fontId="50" fillId="0" borderId="73" xfId="137" applyNumberFormat="1" applyFont="1" applyBorder="1" applyAlignment="1">
      <alignment horizontal="center"/>
    </xf>
    <xf numFmtId="0" fontId="69" fillId="34" borderId="26" xfId="0" applyFont="1" applyFill="1" applyBorder="1" applyAlignment="1">
      <alignment horizontal="center" vertical="center" wrapText="1"/>
    </xf>
    <xf numFmtId="0" fontId="75" fillId="34" borderId="3" xfId="2" applyFont="1" applyFill="1" applyBorder="1" applyAlignment="1">
      <alignment horizontal="center" vertical="center" wrapText="1"/>
    </xf>
    <xf numFmtId="0" fontId="75" fillId="34" borderId="2" xfId="2" applyFont="1" applyFill="1" applyBorder="1" applyAlignment="1">
      <alignment horizontal="center" vertical="center" wrapText="1"/>
    </xf>
    <xf numFmtId="0" fontId="75" fillId="34" borderId="9" xfId="2" applyFont="1" applyFill="1" applyBorder="1" applyAlignment="1">
      <alignment horizontal="center" vertical="center" wrapText="1"/>
    </xf>
    <xf numFmtId="0" fontId="75" fillId="34" borderId="15" xfId="2" applyFont="1" applyFill="1" applyBorder="1" applyAlignment="1">
      <alignment horizontal="center" vertical="center" wrapText="1"/>
    </xf>
    <xf numFmtId="0" fontId="75" fillId="34" borderId="17" xfId="2" applyFont="1" applyFill="1" applyBorder="1" applyAlignment="1">
      <alignment horizontal="center" vertical="center" wrapText="1"/>
    </xf>
    <xf numFmtId="170" fontId="75" fillId="8" borderId="77" xfId="2" applyNumberFormat="1" applyFont="1" applyFill="1" applyBorder="1" applyAlignment="1">
      <alignment horizontal="center" vertical="center" wrapText="1"/>
    </xf>
    <xf numFmtId="0" fontId="105" fillId="2" borderId="0" xfId="2" applyFont="1" applyFill="1"/>
    <xf numFmtId="0" fontId="3" fillId="2" borderId="0" xfId="2" applyFill="1"/>
    <xf numFmtId="0" fontId="51" fillId="0" borderId="10" xfId="2" applyFont="1" applyFill="1" applyBorder="1" applyAlignment="1">
      <alignment horizontal="center"/>
    </xf>
    <xf numFmtId="0" fontId="48" fillId="2" borderId="0" xfId="2" applyFont="1" applyFill="1" applyAlignment="1">
      <alignment horizontal="center"/>
    </xf>
    <xf numFmtId="174" fontId="2" fillId="0" borderId="1" xfId="0" applyNumberFormat="1" applyFont="1" applyBorder="1"/>
    <xf numFmtId="0" fontId="80" fillId="0" borderId="78" xfId="137" applyBorder="1"/>
    <xf numFmtId="170" fontId="63" fillId="0" borderId="78" xfId="137" applyNumberFormat="1" applyFont="1" applyBorder="1" applyAlignment="1">
      <alignment horizontal="center"/>
    </xf>
    <xf numFmtId="169" fontId="2" fillId="0" borderId="1" xfId="1" applyFont="1" applyBorder="1"/>
    <xf numFmtId="0" fontId="0" fillId="2" borderId="0" xfId="0" applyFill="1"/>
    <xf numFmtId="0" fontId="2" fillId="0" borderId="19" xfId="0" applyFont="1" applyBorder="1"/>
    <xf numFmtId="0" fontId="46" fillId="0" borderId="0" xfId="0" applyFont="1"/>
    <xf numFmtId="4" fontId="89" fillId="37" borderId="76" xfId="137" applyNumberFormat="1" applyFont="1" applyFill="1" applyBorder="1" applyAlignment="1">
      <alignment horizontal="center"/>
    </xf>
    <xf numFmtId="185" fontId="89" fillId="37" borderId="70" xfId="137" applyNumberFormat="1" applyFont="1" applyFill="1" applyBorder="1" applyAlignment="1">
      <alignment horizontal="center"/>
    </xf>
    <xf numFmtId="2" fontId="91" fillId="0" borderId="64" xfId="137" applyNumberFormat="1" applyFont="1" applyBorder="1" applyAlignment="1">
      <alignment horizontal="center"/>
    </xf>
    <xf numFmtId="4" fontId="90" fillId="47" borderId="65" xfId="137" applyNumberFormat="1" applyFont="1" applyFill="1" applyBorder="1" applyAlignment="1">
      <alignment horizontal="center"/>
    </xf>
    <xf numFmtId="0" fontId="65" fillId="3" borderId="6" xfId="0" quotePrefix="1" applyFont="1" applyFill="1" applyBorder="1" applyAlignment="1">
      <alignment horizontal="center"/>
    </xf>
    <xf numFmtId="1" fontId="65" fillId="3" borderId="5" xfId="0" applyNumberFormat="1" applyFont="1" applyFill="1" applyBorder="1" applyAlignment="1">
      <alignment horizontal="center"/>
    </xf>
    <xf numFmtId="0" fontId="106" fillId="3" borderId="5" xfId="0" applyFont="1" applyFill="1" applyBorder="1"/>
    <xf numFmtId="0" fontId="106" fillId="31" borderId="0" xfId="0" applyFont="1" applyFill="1"/>
    <xf numFmtId="3" fontId="8" fillId="0" borderId="1" xfId="0" applyNumberFormat="1" applyFon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8" fillId="7" borderId="36" xfId="0" applyNumberFormat="1" applyFont="1" applyFill="1" applyBorder="1"/>
    <xf numFmtId="1" fontId="2" fillId="34" borderId="36" xfId="0" applyNumberFormat="1" applyFont="1" applyFill="1" applyBorder="1" applyAlignment="1">
      <alignment horizontal="center"/>
    </xf>
    <xf numFmtId="3" fontId="9" fillId="34" borderId="36" xfId="0" applyNumberFormat="1" applyFont="1" applyFill="1" applyBorder="1" applyAlignment="1">
      <alignment horizontal="center"/>
    </xf>
    <xf numFmtId="1" fontId="2" fillId="34" borderId="0" xfId="0" applyNumberFormat="1" applyFont="1" applyFill="1" applyAlignment="1">
      <alignment horizontal="center"/>
    </xf>
    <xf numFmtId="1" fontId="2" fillId="34" borderId="36" xfId="0" applyNumberFormat="1" applyFont="1" applyFill="1" applyBorder="1"/>
    <xf numFmtId="1" fontId="57" fillId="34" borderId="36" xfId="0" applyNumberFormat="1" applyFont="1" applyFill="1" applyBorder="1"/>
    <xf numFmtId="3" fontId="70" fillId="34" borderId="36" xfId="0" applyNumberFormat="1" applyFont="1" applyFill="1" applyBorder="1"/>
    <xf numFmtId="3" fontId="2" fillId="6" borderId="36" xfId="0" applyNumberFormat="1" applyFont="1" applyFill="1" applyBorder="1"/>
    <xf numFmtId="3" fontId="2" fillId="34" borderId="36" xfId="0" applyNumberFormat="1" applyFont="1" applyFill="1" applyBorder="1"/>
    <xf numFmtId="3" fontId="57" fillId="34" borderId="36" xfId="0" applyNumberFormat="1" applyFont="1" applyFill="1" applyBorder="1"/>
    <xf numFmtId="1" fontId="57" fillId="58" borderId="36" xfId="0" applyNumberFormat="1" applyFont="1" applyFill="1" applyBorder="1"/>
    <xf numFmtId="3" fontId="70" fillId="7" borderId="36" xfId="0" applyNumberFormat="1" applyFont="1" applyFill="1" applyBorder="1"/>
    <xf numFmtId="3" fontId="57" fillId="3" borderId="36" xfId="0" applyNumberFormat="1" applyFont="1" applyFill="1" applyBorder="1" applyAlignment="1">
      <alignment horizontal="center"/>
    </xf>
    <xf numFmtId="170" fontId="11" fillId="32" borderId="24" xfId="0" applyNumberFormat="1" applyFont="1" applyFill="1" applyBorder="1" applyAlignment="1">
      <alignment horizontal="center" vertical="center" wrapText="1"/>
    </xf>
    <xf numFmtId="0" fontId="100" fillId="0" borderId="73" xfId="137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70" fontId="2" fillId="0" borderId="19" xfId="0" applyNumberFormat="1" applyFont="1" applyBorder="1" applyAlignment="1">
      <alignment horizontal="center" vertical="center"/>
    </xf>
    <xf numFmtId="170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70" fontId="2" fillId="0" borderId="8" xfId="0" applyNumberFormat="1" applyFont="1" applyBorder="1" applyAlignment="1">
      <alignment horizontal="center" vertical="center"/>
    </xf>
    <xf numFmtId="3" fontId="2" fillId="59" borderId="61" xfId="0" applyNumberFormat="1" applyFont="1" applyFill="1" applyBorder="1" applyAlignment="1">
      <alignment horizontal="center"/>
    </xf>
    <xf numFmtId="0" fontId="2" fillId="59" borderId="61" xfId="0" applyFont="1" applyFill="1" applyBorder="1" applyAlignment="1">
      <alignment horizontal="center"/>
    </xf>
    <xf numFmtId="1" fontId="2" fillId="59" borderId="61" xfId="0" applyNumberFormat="1" applyFont="1" applyFill="1" applyBorder="1" applyAlignment="1">
      <alignment horizontal="center"/>
    </xf>
    <xf numFmtId="170" fontId="2" fillId="59" borderId="57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59" borderId="77" xfId="0" applyFont="1" applyFill="1" applyBorder="1" applyAlignment="1">
      <alignment horizontal="center" wrapText="1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193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70" fontId="0" fillId="0" borderId="9" xfId="0" applyNumberFormat="1" applyBorder="1" applyAlignment="1">
      <alignment horizontal="center" vertical="center" wrapText="1"/>
    </xf>
    <xf numFmtId="19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0" fontId="0" fillId="0" borderId="19" xfId="0" applyNumberFormat="1" applyBorder="1" applyAlignment="1">
      <alignment horizontal="center" vertical="center" wrapText="1"/>
    </xf>
    <xf numFmtId="193" fontId="2" fillId="0" borderId="37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170" fontId="0" fillId="0" borderId="63" xfId="0" applyNumberForma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193" fontId="2" fillId="0" borderId="52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70" fontId="0" fillId="0" borderId="53" xfId="0" applyNumberFormat="1" applyBorder="1" applyAlignment="1">
      <alignment horizontal="center" vertical="center" wrapText="1"/>
    </xf>
    <xf numFmtId="0" fontId="2" fillId="57" borderId="77" xfId="0" applyFont="1" applyFill="1" applyBorder="1" applyAlignment="1">
      <alignment horizontal="center" vertical="center" wrapText="1"/>
    </xf>
    <xf numFmtId="3" fontId="2" fillId="57" borderId="61" xfId="0" applyNumberFormat="1" applyFont="1" applyFill="1" applyBorder="1" applyAlignment="1">
      <alignment horizontal="center" vertical="center" wrapText="1"/>
    </xf>
    <xf numFmtId="185" fontId="2" fillId="57" borderId="57" xfId="0" applyNumberFormat="1" applyFont="1" applyFill="1" applyBorder="1" applyAlignment="1">
      <alignment horizontal="center" vertical="center" wrapText="1"/>
    </xf>
    <xf numFmtId="1" fontId="2" fillId="31" borderId="1" xfId="0" applyNumberFormat="1" applyFont="1" applyFill="1" applyBorder="1" applyAlignment="1">
      <alignment horizontal="center" vertical="center"/>
    </xf>
    <xf numFmtId="1" fontId="2" fillId="31" borderId="5" xfId="0" applyNumberFormat="1" applyFont="1" applyFill="1" applyBorder="1" applyAlignment="1">
      <alignment horizontal="center" vertical="center"/>
    </xf>
    <xf numFmtId="0" fontId="2" fillId="31" borderId="2" xfId="0" applyFont="1" applyFill="1" applyBorder="1" applyAlignment="1">
      <alignment horizontal="center" vertical="center" wrapText="1"/>
    </xf>
    <xf numFmtId="0" fontId="2" fillId="31" borderId="3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37" xfId="0" applyNumberFormat="1" applyFont="1" applyFill="1" applyBorder="1" applyAlignment="1">
      <alignment horizontal="center" vertical="center" wrapText="1"/>
    </xf>
    <xf numFmtId="1" fontId="2" fillId="6" borderId="52" xfId="0" applyNumberFormat="1" applyFont="1" applyFill="1" applyBorder="1" applyAlignment="1">
      <alignment horizontal="center" vertical="center" wrapText="1"/>
    </xf>
    <xf numFmtId="1" fontId="2" fillId="31" borderId="2" xfId="0" applyNumberFormat="1" applyFont="1" applyFill="1" applyBorder="1" applyAlignment="1">
      <alignment horizontal="center" vertical="center" wrapText="1"/>
    </xf>
    <xf numFmtId="1" fontId="2" fillId="31" borderId="1" xfId="0" applyNumberFormat="1" applyFont="1" applyFill="1" applyBorder="1" applyAlignment="1">
      <alignment horizontal="center" vertical="center" wrapText="1"/>
    </xf>
    <xf numFmtId="1" fontId="2" fillId="31" borderId="37" xfId="0" applyNumberFormat="1" applyFont="1" applyFill="1" applyBorder="1" applyAlignment="1">
      <alignment horizontal="center" vertical="center" wrapText="1"/>
    </xf>
    <xf numFmtId="1" fontId="2" fillId="31" borderId="52" xfId="0" applyNumberFormat="1" applyFont="1" applyFill="1" applyBorder="1" applyAlignment="1">
      <alignment horizontal="center" vertical="center" wrapText="1"/>
    </xf>
    <xf numFmtId="0" fontId="83" fillId="60" borderId="1" xfId="137" applyFont="1" applyFill="1" applyBorder="1" applyAlignment="1">
      <alignment horizontal="center"/>
    </xf>
    <xf numFmtId="170" fontId="83" fillId="60" borderId="1" xfId="137" applyNumberFormat="1" applyFont="1" applyFill="1" applyBorder="1" applyAlignment="1">
      <alignment horizontal="center"/>
    </xf>
    <xf numFmtId="0" fontId="100" fillId="31" borderId="1" xfId="137" applyFont="1" applyFill="1" applyBorder="1" applyAlignment="1">
      <alignment horizontal="center"/>
    </xf>
    <xf numFmtId="1" fontId="83" fillId="60" borderId="1" xfId="137" applyNumberFormat="1" applyFont="1" applyFill="1" applyBorder="1" applyAlignment="1">
      <alignment horizontal="center"/>
    </xf>
    <xf numFmtId="0" fontId="100" fillId="0" borderId="0" xfId="137" applyFont="1" applyBorder="1"/>
    <xf numFmtId="0" fontId="56" fillId="3" borderId="1" xfId="2" applyFont="1" applyFill="1" applyBorder="1"/>
    <xf numFmtId="0" fontId="56" fillId="3" borderId="1" xfId="2" applyFont="1" applyFill="1" applyBorder="1" applyAlignment="1">
      <alignment horizontal="center"/>
    </xf>
    <xf numFmtId="0" fontId="4" fillId="3" borderId="0" xfId="2" applyFont="1" applyFill="1"/>
    <xf numFmtId="0" fontId="108" fillId="7" borderId="0" xfId="0" applyFont="1" applyFill="1"/>
    <xf numFmtId="0" fontId="109" fillId="7" borderId="0" xfId="0" applyFont="1" applyFill="1"/>
    <xf numFmtId="0" fontId="47" fillId="7" borderId="47" xfId="2" applyFont="1" applyFill="1" applyBorder="1" applyAlignment="1">
      <alignment horizontal="center" vertical="center" wrapText="1"/>
    </xf>
    <xf numFmtId="0" fontId="48" fillId="7" borderId="0" xfId="2" applyFont="1" applyFill="1" applyAlignment="1">
      <alignment horizontal="center"/>
    </xf>
    <xf numFmtId="172" fontId="69" fillId="34" borderId="20" xfId="0" applyNumberFormat="1" applyFont="1" applyFill="1" applyBorder="1" applyAlignment="1">
      <alignment horizontal="center" vertical="center" wrapText="1"/>
    </xf>
    <xf numFmtId="170" fontId="75" fillId="34" borderId="80" xfId="2" applyNumberFormat="1" applyFont="1" applyFill="1" applyBorder="1" applyAlignment="1">
      <alignment horizontal="center" vertical="center" wrapText="1"/>
    </xf>
    <xf numFmtId="2" fontId="75" fillId="34" borderId="24" xfId="2" applyNumberFormat="1" applyFont="1" applyFill="1" applyBorder="1" applyAlignment="1">
      <alignment horizontal="center" vertical="center" wrapText="1"/>
    </xf>
    <xf numFmtId="4" fontId="75" fillId="34" borderId="24" xfId="2" applyNumberFormat="1" applyFont="1" applyFill="1" applyBorder="1" applyAlignment="1">
      <alignment horizontal="center" vertical="center" wrapText="1"/>
    </xf>
    <xf numFmtId="4" fontId="75" fillId="34" borderId="79" xfId="2" applyNumberFormat="1" applyFont="1" applyFill="1" applyBorder="1" applyAlignment="1">
      <alignment horizontal="center" vertical="center" wrapText="1"/>
    </xf>
    <xf numFmtId="0" fontId="75" fillId="8" borderId="81" xfId="2" applyFont="1" applyFill="1" applyBorder="1" applyAlignment="1">
      <alignment horizontal="center" vertical="center" wrapText="1"/>
    </xf>
    <xf numFmtId="0" fontId="75" fillId="8" borderId="3" xfId="2" applyFont="1" applyFill="1" applyBorder="1" applyAlignment="1">
      <alignment horizontal="center" vertical="center" wrapText="1"/>
    </xf>
    <xf numFmtId="0" fontId="75" fillId="8" borderId="2" xfId="2" applyFont="1" applyFill="1" applyBorder="1" applyAlignment="1">
      <alignment horizontal="center" vertical="center" wrapText="1"/>
    </xf>
    <xf numFmtId="0" fontId="75" fillId="8" borderId="9" xfId="2" applyFont="1" applyFill="1" applyBorder="1" applyAlignment="1">
      <alignment horizontal="center" vertical="center" wrapText="1"/>
    </xf>
    <xf numFmtId="0" fontId="0" fillId="0" borderId="14" xfId="0" applyFill="1" applyBorder="1"/>
    <xf numFmtId="170" fontId="75" fillId="8" borderId="60" xfId="2" applyNumberFormat="1" applyFont="1" applyFill="1" applyBorder="1" applyAlignment="1">
      <alignment horizontal="center" vertical="center" wrapText="1"/>
    </xf>
    <xf numFmtId="189" fontId="2" fillId="0" borderId="18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9" fontId="2" fillId="34" borderId="1" xfId="1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3" borderId="82" xfId="0" applyFont="1" applyFill="1" applyBorder="1" applyAlignment="1">
      <alignment horizontal="left"/>
    </xf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192" fontId="2" fillId="0" borderId="18" xfId="0" applyNumberFormat="1" applyFont="1" applyBorder="1" applyAlignment="1">
      <alignment horizontal="center"/>
    </xf>
    <xf numFmtId="0" fontId="2" fillId="34" borderId="19" xfId="0" applyFont="1" applyFill="1" applyBorder="1" applyAlignment="1">
      <alignment horizontal="center"/>
    </xf>
    <xf numFmtId="192" fontId="2" fillId="0" borderId="6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9" fontId="2" fillId="34" borderId="5" xfId="1" applyFont="1" applyFill="1" applyBorder="1" applyAlignment="1">
      <alignment horizontal="center"/>
    </xf>
    <xf numFmtId="0" fontId="2" fillId="34" borderId="8" xfId="0" applyFont="1" applyFill="1" applyBorder="1" applyAlignment="1">
      <alignment horizontal="center"/>
    </xf>
    <xf numFmtId="0" fontId="65" fillId="3" borderId="11" xfId="0" quotePrefix="1" applyFont="1" applyFill="1" applyBorder="1" applyAlignment="1">
      <alignment horizontal="center"/>
    </xf>
    <xf numFmtId="1" fontId="65" fillId="3" borderId="87" xfId="0" applyNumberFormat="1" applyFont="1" applyFill="1" applyBorder="1" applyAlignment="1">
      <alignment horizontal="center"/>
    </xf>
    <xf numFmtId="0" fontId="106" fillId="3" borderId="87" xfId="0" applyFont="1" applyFill="1" applyBorder="1"/>
    <xf numFmtId="0" fontId="2" fillId="0" borderId="87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9" fillId="55" borderId="3" xfId="0" applyFont="1" applyFill="1" applyBorder="1"/>
    <xf numFmtId="0" fontId="0" fillId="55" borderId="2" xfId="0" applyFill="1" applyBorder="1"/>
    <xf numFmtId="0" fontId="106" fillId="31" borderId="2" xfId="0" applyFont="1" applyFill="1" applyBorder="1"/>
    <xf numFmtId="0" fontId="106" fillId="31" borderId="9" xfId="0" applyFont="1" applyFill="1" applyBorder="1"/>
    <xf numFmtId="189" fontId="2" fillId="0" borderId="62" xfId="0" applyNumberFormat="1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2" xfId="0" applyFont="1" applyFill="1" applyBorder="1" applyAlignment="1">
      <alignment horizontal="center"/>
    </xf>
    <xf numFmtId="0" fontId="2" fillId="0" borderId="63" xfId="0" applyFont="1" applyBorder="1" applyAlignment="1">
      <alignment horizontal="center"/>
    </xf>
    <xf numFmtId="192" fontId="2" fillId="0" borderId="3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169" fontId="2" fillId="34" borderId="2" xfId="1" applyFont="1" applyFill="1" applyBorder="1" applyAlignment="1">
      <alignment horizontal="center"/>
    </xf>
    <xf numFmtId="0" fontId="2" fillId="34" borderId="9" xfId="0" applyFont="1" applyFill="1" applyBorder="1" applyAlignment="1">
      <alignment horizontal="center"/>
    </xf>
    <xf numFmtId="3" fontId="47" fillId="39" borderId="64" xfId="137" applyNumberFormat="1" applyFont="1" applyFill="1" applyBorder="1" applyAlignment="1">
      <alignment horizontal="center" vertical="center" wrapText="1"/>
    </xf>
    <xf numFmtId="3" fontId="47" fillId="39" borderId="65" xfId="137" applyNumberFormat="1" applyFont="1" applyFill="1" applyBorder="1" applyAlignment="1">
      <alignment horizontal="center" vertical="center" wrapText="1"/>
    </xf>
    <xf numFmtId="0" fontId="100" fillId="0" borderId="0" xfId="137" applyFont="1" applyAlignment="1">
      <alignment horizontal="center"/>
    </xf>
    <xf numFmtId="0" fontId="100" fillId="6" borderId="0" xfId="137" applyFont="1" applyFill="1" applyAlignment="1">
      <alignment horizontal="center"/>
    </xf>
    <xf numFmtId="0" fontId="83" fillId="61" borderId="1" xfId="137" applyFont="1" applyFill="1" applyBorder="1" applyAlignment="1">
      <alignment horizontal="center"/>
    </xf>
    <xf numFmtId="0" fontId="0" fillId="6" borderId="0" xfId="0" applyFill="1"/>
    <xf numFmtId="170" fontId="110" fillId="6" borderId="1" xfId="0" applyNumberFormat="1" applyFont="1" applyFill="1" applyBorder="1" applyAlignment="1">
      <alignment horizontal="center"/>
    </xf>
    <xf numFmtId="1" fontId="110" fillId="6" borderId="1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10" fillId="0" borderId="0" xfId="0" applyFont="1"/>
    <xf numFmtId="0" fontId="111" fillId="7" borderId="0" xfId="0" applyFont="1" applyFill="1" applyAlignment="1">
      <alignment horizontal="center"/>
    </xf>
    <xf numFmtId="0" fontId="0" fillId="51" borderId="1" xfId="0" applyFill="1" applyBorder="1"/>
    <xf numFmtId="0" fontId="0" fillId="62" borderId="1" xfId="0" applyFill="1" applyBorder="1"/>
    <xf numFmtId="0" fontId="2" fillId="63" borderId="1" xfId="0" applyFont="1" applyFill="1" applyBorder="1"/>
    <xf numFmtId="0" fontId="0" fillId="64" borderId="1" xfId="0" applyFill="1" applyBorder="1"/>
    <xf numFmtId="9" fontId="111" fillId="0" borderId="0" xfId="7" applyFont="1"/>
    <xf numFmtId="0" fontId="0" fillId="51" borderId="0" xfId="0" applyFill="1"/>
    <xf numFmtId="0" fontId="4" fillId="0" borderId="0" xfId="2" applyFont="1" applyFill="1" applyBorder="1" applyAlignment="1">
      <alignment horizontal="center" wrapText="1"/>
    </xf>
    <xf numFmtId="1" fontId="57" fillId="0" borderId="1" xfId="0" applyNumberFormat="1" applyFont="1" applyBorder="1" applyAlignment="1">
      <alignment horizontal="center"/>
    </xf>
    <xf numFmtId="0" fontId="11" fillId="2" borderId="0" xfId="0" applyFont="1" applyFill="1"/>
    <xf numFmtId="0" fontId="112" fillId="2" borderId="0" xfId="0" applyFont="1" applyFill="1"/>
    <xf numFmtId="0" fontId="12" fillId="2" borderId="0" xfId="2" applyFont="1" applyFill="1" applyBorder="1"/>
    <xf numFmtId="2" fontId="2" fillId="2" borderId="0" xfId="0" applyNumberFormat="1" applyFont="1" applyFill="1" applyBorder="1" applyAlignment="1">
      <alignment horizontal="center"/>
    </xf>
    <xf numFmtId="2" fontId="47" fillId="7" borderId="1" xfId="2" applyNumberFormat="1" applyFont="1" applyFill="1" applyBorder="1" applyAlignment="1">
      <alignment horizontal="center" vertical="center" wrapText="1"/>
    </xf>
    <xf numFmtId="2" fontId="51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74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center" vertical="center"/>
    </xf>
    <xf numFmtId="170" fontId="9" fillId="3" borderId="1" xfId="0" applyNumberFormat="1" applyFont="1" applyFill="1" applyBorder="1" applyAlignment="1">
      <alignment horizontal="center" vertical="center"/>
    </xf>
    <xf numFmtId="0" fontId="48" fillId="3" borderId="36" xfId="2" applyFont="1" applyFill="1" applyBorder="1" applyAlignment="1" applyProtection="1">
      <alignment horizontal="center"/>
      <protection locked="0"/>
    </xf>
    <xf numFmtId="3" fontId="11" fillId="2" borderId="0" xfId="0" applyNumberFormat="1" applyFont="1" applyFill="1" applyBorder="1"/>
    <xf numFmtId="0" fontId="112" fillId="2" borderId="0" xfId="0" applyFont="1" applyFill="1" applyBorder="1"/>
    <xf numFmtId="0" fontId="11" fillId="2" borderId="0" xfId="0" applyFont="1" applyFill="1" applyAlignment="1">
      <alignment horizontal="center"/>
    </xf>
    <xf numFmtId="9" fontId="58" fillId="31" borderId="1" xfId="7" applyFont="1" applyFill="1" applyBorder="1" applyAlignment="1">
      <alignment horizontal="center" vertical="center"/>
    </xf>
    <xf numFmtId="170" fontId="58" fillId="2" borderId="82" xfId="0" applyNumberFormat="1" applyFont="1" applyFill="1" applyBorder="1" applyAlignment="1">
      <alignment horizontal="left" vertical="center"/>
    </xf>
    <xf numFmtId="170" fontId="58" fillId="2" borderId="82" xfId="0" applyNumberFormat="1" applyFont="1" applyFill="1" applyBorder="1" applyAlignment="1">
      <alignment horizontal="center" vertical="center"/>
    </xf>
    <xf numFmtId="1" fontId="77" fillId="2" borderId="63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/>
    </xf>
    <xf numFmtId="0" fontId="49" fillId="36" borderId="88" xfId="0" applyFont="1" applyFill="1" applyBorder="1" applyAlignment="1">
      <alignment horizontal="center" vertical="center"/>
    </xf>
    <xf numFmtId="0" fontId="49" fillId="36" borderId="89" xfId="0" applyFont="1" applyFill="1" applyBorder="1" applyAlignment="1">
      <alignment horizontal="center"/>
    </xf>
    <xf numFmtId="0" fontId="61" fillId="0" borderId="73" xfId="2" applyFont="1" applyBorder="1" applyAlignment="1">
      <alignment horizontal="center" vertical="center"/>
    </xf>
    <xf numFmtId="0" fontId="47" fillId="7" borderId="73" xfId="2" applyFont="1" applyFill="1" applyBorder="1" applyAlignment="1">
      <alignment horizontal="center" vertical="center" wrapText="1"/>
    </xf>
    <xf numFmtId="10" fontId="2" fillId="3" borderId="0" xfId="7" applyNumberFormat="1" applyFont="1" applyFill="1" applyBorder="1"/>
    <xf numFmtId="0" fontId="4" fillId="3" borderId="0" xfId="2" applyFont="1" applyFill="1" applyBorder="1"/>
    <xf numFmtId="0" fontId="11" fillId="3" borderId="0" xfId="0" applyFont="1" applyFill="1"/>
    <xf numFmtId="9" fontId="2" fillId="0" borderId="0" xfId="7" applyFont="1" applyAlignment="1">
      <alignment horizontal="center"/>
    </xf>
    <xf numFmtId="0" fontId="113" fillId="2" borderId="0" xfId="2" applyFont="1" applyFill="1"/>
    <xf numFmtId="0" fontId="76" fillId="2" borderId="0" xfId="2" quotePrefix="1" applyFont="1" applyFill="1"/>
    <xf numFmtId="0" fontId="114" fillId="2" borderId="0" xfId="2" applyFont="1" applyFill="1"/>
    <xf numFmtId="0" fontId="14" fillId="2" borderId="0" xfId="0" applyFont="1" applyFill="1" applyBorder="1"/>
    <xf numFmtId="0" fontId="14" fillId="2" borderId="0" xfId="0" applyFont="1" applyFill="1"/>
    <xf numFmtId="16" fontId="0" fillId="0" borderId="0" xfId="0" applyNumberFormat="1"/>
    <xf numFmtId="16" fontId="2" fillId="0" borderId="1" xfId="0" applyNumberFormat="1" applyFont="1" applyBorder="1"/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2" fontId="5" fillId="0" borderId="43" xfId="2" applyNumberFormat="1" applyFont="1" applyFill="1" applyBorder="1" applyAlignment="1">
      <alignment horizontal="center" vertical="center" wrapText="1"/>
    </xf>
    <xf numFmtId="2" fontId="5" fillId="0" borderId="44" xfId="2" applyNumberFormat="1" applyFont="1" applyFill="1" applyBorder="1" applyAlignment="1">
      <alignment horizontal="center" vertical="center" wrapText="1"/>
    </xf>
    <xf numFmtId="0" fontId="47" fillId="7" borderId="43" xfId="2" applyFont="1" applyFill="1" applyBorder="1" applyAlignment="1">
      <alignment horizontal="center" vertical="center" wrapText="1"/>
    </xf>
    <xf numFmtId="0" fontId="47" fillId="7" borderId="44" xfId="2" applyFont="1" applyFill="1" applyBorder="1" applyAlignment="1">
      <alignment horizontal="center" vertical="center" wrapText="1"/>
    </xf>
    <xf numFmtId="0" fontId="47" fillId="7" borderId="45" xfId="2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33" borderId="43" xfId="0" applyFont="1" applyFill="1" applyBorder="1" applyAlignment="1">
      <alignment horizontal="center" wrapText="1"/>
    </xf>
    <xf numFmtId="0" fontId="2" fillId="33" borderId="44" xfId="0" applyFont="1" applyFill="1" applyBorder="1" applyAlignment="1">
      <alignment horizontal="center" wrapText="1"/>
    </xf>
    <xf numFmtId="0" fontId="4" fillId="0" borderId="12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3" fontId="83" fillId="0" borderId="1" xfId="137" applyNumberFormat="1" applyFont="1" applyBorder="1" applyAlignment="1">
      <alignment horizontal="center" vertical="center" wrapText="1"/>
    </xf>
    <xf numFmtId="0" fontId="93" fillId="0" borderId="1" xfId="137" applyFont="1" applyBorder="1"/>
    <xf numFmtId="3" fontId="83" fillId="0" borderId="1" xfId="137" applyNumberFormat="1" applyFont="1" applyBorder="1" applyAlignment="1">
      <alignment horizontal="center" wrapText="1"/>
    </xf>
    <xf numFmtId="3" fontId="95" fillId="0" borderId="1" xfId="137" applyNumberFormat="1" applyFont="1" applyBorder="1" applyAlignment="1">
      <alignment horizontal="center" wrapText="1"/>
    </xf>
    <xf numFmtId="3" fontId="83" fillId="45" borderId="74" xfId="137" applyNumberFormat="1" applyFont="1" applyFill="1" applyBorder="1" applyAlignment="1">
      <alignment horizontal="center" wrapText="1"/>
    </xf>
    <xf numFmtId="0" fontId="93" fillId="0" borderId="75" xfId="137" applyFont="1" applyBorder="1"/>
    <xf numFmtId="0" fontId="93" fillId="0" borderId="76" xfId="137" applyFont="1" applyBorder="1"/>
    <xf numFmtId="0" fontId="0" fillId="0" borderId="73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51" borderId="73" xfId="0" applyFill="1" applyBorder="1" applyAlignment="1">
      <alignment horizontal="center"/>
    </xf>
    <xf numFmtId="0" fontId="0" fillId="51" borderId="50" xfId="0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115" fillId="0" borderId="0" xfId="0" applyFont="1"/>
    <xf numFmtId="0" fontId="70" fillId="31" borderId="15" xfId="0" applyFont="1" applyFill="1" applyBorder="1"/>
    <xf numFmtId="192" fontId="2" fillId="0" borderId="80" xfId="0" applyNumberFormat="1" applyFont="1" applyBorder="1"/>
    <xf numFmtId="192" fontId="57" fillId="31" borderId="1" xfId="0" applyNumberFormat="1" applyFont="1" applyFill="1" applyBorder="1" applyProtection="1">
      <protection locked="0"/>
    </xf>
    <xf numFmtId="20" fontId="57" fillId="31" borderId="1" xfId="0" applyNumberFormat="1" applyFont="1" applyFill="1" applyBorder="1" applyProtection="1">
      <protection locked="0"/>
    </xf>
    <xf numFmtId="3" fontId="57" fillId="31" borderId="1" xfId="0" applyNumberFormat="1" applyFont="1" applyFill="1" applyBorder="1" applyAlignment="1" applyProtection="1">
      <alignment horizontal="center"/>
      <protection locked="0"/>
    </xf>
    <xf numFmtId="0" fontId="70" fillId="31" borderId="15" xfId="0" applyFont="1" applyFill="1" applyBorder="1" applyProtection="1">
      <protection locked="0"/>
    </xf>
    <xf numFmtId="0" fontId="109" fillId="31" borderId="0" xfId="0" applyFont="1" applyFill="1" applyBorder="1" applyProtection="1">
      <protection locked="0"/>
    </xf>
    <xf numFmtId="0" fontId="2" fillId="0" borderId="73" xfId="0" applyFont="1" applyBorder="1" applyAlignment="1">
      <alignment horizontal="center"/>
    </xf>
    <xf numFmtId="0" fontId="70" fillId="31" borderId="1" xfId="0" applyFont="1" applyFill="1" applyBorder="1" applyAlignment="1" applyProtection="1">
      <alignment horizontal="center"/>
      <protection locked="0"/>
    </xf>
    <xf numFmtId="169" fontId="2" fillId="0" borderId="1" xfId="1" applyFont="1" applyBorder="1" applyProtection="1">
      <protection locked="0"/>
    </xf>
    <xf numFmtId="0" fontId="2" fillId="31" borderId="19" xfId="0" applyFont="1" applyFill="1" applyBorder="1" applyProtection="1">
      <protection locked="0"/>
    </xf>
    <xf numFmtId="0" fontId="2" fillId="31" borderId="63" xfId="0" applyFont="1" applyFill="1" applyBorder="1" applyProtection="1">
      <protection locked="0"/>
    </xf>
    <xf numFmtId="0" fontId="2" fillId="34" borderId="0" xfId="0" applyFont="1" applyFill="1"/>
    <xf numFmtId="0" fontId="109" fillId="31" borderId="1" xfId="0" applyFont="1" applyFill="1" applyBorder="1" applyProtection="1">
      <protection locked="0"/>
    </xf>
    <xf numFmtId="3" fontId="84" fillId="40" borderId="64" xfId="137" applyNumberFormat="1" applyFont="1" applyFill="1" applyBorder="1" applyAlignment="1" applyProtection="1">
      <alignment horizontal="center" vertical="center" wrapText="1"/>
      <protection locked="0"/>
    </xf>
    <xf numFmtId="0" fontId="103" fillId="7" borderId="1" xfId="137" applyFont="1" applyFill="1" applyBorder="1" applyAlignment="1" applyProtection="1">
      <alignment horizontal="center"/>
      <protection locked="0"/>
    </xf>
    <xf numFmtId="3" fontId="84" fillId="40" borderId="70" xfId="137" applyNumberFormat="1" applyFont="1" applyFill="1" applyBorder="1" applyAlignment="1" applyProtection="1">
      <alignment horizontal="center" vertical="center" wrapText="1"/>
      <protection locked="0"/>
    </xf>
    <xf numFmtId="0" fontId="103" fillId="7" borderId="0" xfId="137" applyFont="1" applyFill="1" applyBorder="1" applyAlignment="1" applyProtection="1">
      <alignment horizontal="center"/>
      <protection locked="0"/>
    </xf>
    <xf numFmtId="3" fontId="84" fillId="40" borderId="0" xfId="137" applyNumberFormat="1" applyFont="1" applyFill="1" applyBorder="1" applyAlignment="1">
      <alignment horizontal="center" vertical="center" wrapText="1"/>
    </xf>
    <xf numFmtId="3" fontId="47" fillId="56" borderId="72" xfId="137" applyNumberFormat="1" applyFont="1" applyFill="1" applyBorder="1" applyAlignment="1" applyProtection="1">
      <alignment horizontal="center" vertical="center" wrapText="1"/>
      <protection locked="0"/>
    </xf>
    <xf numFmtId="4" fontId="47" fillId="40" borderId="72" xfId="137" applyNumberFormat="1" applyFont="1" applyFill="1" applyBorder="1" applyAlignment="1" applyProtection="1">
      <alignment horizontal="center" vertical="center" wrapText="1"/>
      <protection locked="0"/>
    </xf>
    <xf numFmtId="0" fontId="95" fillId="0" borderId="1" xfId="137" applyFont="1" applyBorder="1" applyProtection="1">
      <protection locked="0"/>
    </xf>
    <xf numFmtId="3" fontId="83" fillId="0" borderId="0" xfId="137" applyNumberFormat="1" applyFont="1" applyBorder="1" applyAlignment="1" applyProtection="1">
      <alignment horizontal="center"/>
      <protection locked="0"/>
    </xf>
    <xf numFmtId="3" fontId="84" fillId="39" borderId="65" xfId="137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137" applyProtection="1">
      <protection locked="0"/>
    </xf>
    <xf numFmtId="3" fontId="84" fillId="39" borderId="0" xfId="137" applyNumberFormat="1" applyFont="1" applyFill="1" applyBorder="1" applyAlignment="1" applyProtection="1">
      <alignment horizontal="center" vertical="center" wrapText="1"/>
      <protection locked="0"/>
    </xf>
    <xf numFmtId="3" fontId="84" fillId="54" borderId="0" xfId="137" applyNumberFormat="1" applyFont="1" applyFill="1" applyBorder="1" applyAlignment="1" applyProtection="1">
      <alignment horizontal="center" vertical="center" wrapText="1"/>
      <protection locked="0"/>
    </xf>
    <xf numFmtId="186" fontId="84" fillId="39" borderId="65" xfId="137" applyNumberFormat="1" applyFont="1" applyFill="1" applyBorder="1" applyAlignment="1" applyProtection="1">
      <alignment horizontal="center" vertical="center" wrapText="1"/>
      <protection locked="0"/>
    </xf>
    <xf numFmtId="3" fontId="88" fillId="39" borderId="65" xfId="137" applyNumberFormat="1" applyFont="1" applyFill="1" applyBorder="1" applyAlignment="1" applyProtection="1">
      <alignment horizontal="center" vertical="center" wrapText="1"/>
      <protection locked="0"/>
    </xf>
    <xf numFmtId="3" fontId="88" fillId="39" borderId="64" xfId="137" applyNumberFormat="1" applyFont="1" applyFill="1" applyBorder="1" applyAlignment="1" applyProtection="1">
      <alignment horizontal="center" vertical="center" wrapText="1"/>
      <protection locked="0"/>
    </xf>
    <xf numFmtId="0" fontId="57" fillId="31" borderId="1" xfId="0" applyFont="1" applyFill="1" applyBorder="1"/>
    <xf numFmtId="0" fontId="109" fillId="31" borderId="0" xfId="0" applyFont="1" applyFill="1"/>
    <xf numFmtId="0" fontId="47" fillId="7" borderId="1" xfId="2" applyFont="1" applyFill="1" applyBorder="1" applyAlignment="1" applyProtection="1">
      <alignment horizontal="center" vertical="center" wrapText="1"/>
      <protection locked="0"/>
    </xf>
    <xf numFmtId="0" fontId="48" fillId="31" borderId="1" xfId="2" applyFont="1" applyFill="1" applyBorder="1" applyAlignment="1" applyProtection="1">
      <alignment horizontal="center"/>
      <protection locked="0"/>
    </xf>
    <xf numFmtId="0" fontId="47" fillId="31" borderId="1" xfId="2" applyFont="1" applyFill="1" applyBorder="1" applyAlignment="1" applyProtection="1">
      <alignment horizontal="center" vertical="center" wrapText="1"/>
      <protection locked="0"/>
    </xf>
    <xf numFmtId="0" fontId="48" fillId="31" borderId="1" xfId="2" applyFont="1" applyFill="1" applyBorder="1" applyAlignment="1" applyProtection="1">
      <alignment horizontal="center" wrapText="1"/>
      <protection locked="0"/>
    </xf>
    <xf numFmtId="170" fontId="57" fillId="31" borderId="1" xfId="0" applyNumberFormat="1" applyFont="1" applyFill="1" applyBorder="1" applyAlignment="1" applyProtection="1">
      <alignment horizontal="center"/>
      <protection locked="0"/>
    </xf>
    <xf numFmtId="0" fontId="47" fillId="7" borderId="12" xfId="2" applyFont="1" applyFill="1" applyBorder="1" applyAlignment="1" applyProtection="1">
      <alignment horizontal="center" vertical="center" wrapText="1"/>
      <protection locked="0"/>
    </xf>
    <xf numFmtId="0" fontId="47" fillId="7" borderId="0" xfId="2" applyFont="1" applyFill="1" applyBorder="1" applyAlignment="1" applyProtection="1">
      <alignment horizontal="center" vertical="center" wrapText="1"/>
      <protection locked="0"/>
    </xf>
    <xf numFmtId="0" fontId="47" fillId="7" borderId="0" xfId="2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2" fillId="31" borderId="0" xfId="0" applyFont="1" applyFill="1" applyAlignment="1" applyProtection="1">
      <alignment horizontal="center"/>
      <protection locked="0"/>
    </xf>
    <xf numFmtId="16" fontId="48" fillId="31" borderId="1" xfId="2" quotePrefix="1" applyNumberFormat="1" applyFont="1" applyFill="1" applyBorder="1" applyAlignment="1" applyProtection="1">
      <alignment horizontal="center"/>
      <protection locked="0"/>
    </xf>
    <xf numFmtId="16" fontId="54" fillId="31" borderId="1" xfId="2" quotePrefix="1" applyNumberFormat="1" applyFont="1" applyFill="1" applyBorder="1" applyAlignment="1" applyProtection="1">
      <alignment horizontal="center"/>
      <protection locked="0"/>
    </xf>
    <xf numFmtId="0" fontId="54" fillId="31" borderId="1" xfId="2" applyFont="1" applyFill="1" applyBorder="1" applyAlignment="1" applyProtection="1">
      <alignment horizontal="center"/>
      <protection locked="0"/>
    </xf>
    <xf numFmtId="0" fontId="47" fillId="7" borderId="5" xfId="2" applyFont="1" applyFill="1" applyBorder="1" applyAlignment="1" applyProtection="1">
      <alignment horizontal="center" vertical="center"/>
      <protection locked="0"/>
    </xf>
    <xf numFmtId="0" fontId="47" fillId="7" borderId="1" xfId="2" applyFont="1" applyFill="1" applyBorder="1" applyAlignment="1" applyProtection="1">
      <alignment horizontal="center" vertical="center"/>
      <protection locked="0"/>
    </xf>
    <xf numFmtId="0" fontId="47" fillId="0" borderId="73" xfId="2" applyFont="1" applyFill="1" applyBorder="1" applyAlignment="1" applyProtection="1">
      <alignment horizontal="center" vertical="center"/>
      <protection locked="0"/>
    </xf>
    <xf numFmtId="0" fontId="47" fillId="0" borderId="90" xfId="2" applyFont="1" applyFill="1" applyBorder="1" applyAlignment="1" applyProtection="1">
      <alignment horizontal="center" vertical="center"/>
      <protection locked="0"/>
    </xf>
    <xf numFmtId="0" fontId="47" fillId="7" borderId="36" xfId="2" applyFont="1" applyFill="1" applyBorder="1" applyAlignment="1" applyProtection="1">
      <alignment horizontal="center" vertical="center"/>
      <protection locked="0"/>
    </xf>
    <xf numFmtId="0" fontId="5" fillId="0" borderId="36" xfId="2" applyFont="1" applyFill="1" applyBorder="1" applyAlignment="1" applyProtection="1">
      <alignment horizontal="center"/>
      <protection locked="0"/>
    </xf>
    <xf numFmtId="0" fontId="48" fillId="0" borderId="36" xfId="2" applyFont="1" applyFill="1" applyBorder="1" applyAlignment="1" applyProtection="1">
      <alignment horizontal="center"/>
      <protection locked="0"/>
    </xf>
    <xf numFmtId="0" fontId="48" fillId="0" borderId="12" xfId="2" applyFont="1" applyFill="1" applyBorder="1" applyProtection="1">
      <protection locked="0"/>
    </xf>
    <xf numFmtId="1" fontId="47" fillId="7" borderId="36" xfId="2" applyNumberFormat="1" applyFont="1" applyFill="1" applyBorder="1" applyAlignment="1" applyProtection="1">
      <alignment horizontal="center" vertical="center"/>
      <protection locked="0"/>
    </xf>
    <xf numFmtId="170" fontId="47" fillId="7" borderId="36" xfId="2" applyNumberFormat="1" applyFont="1" applyFill="1" applyBorder="1" applyAlignment="1" applyProtection="1">
      <alignment horizontal="center" vertical="center"/>
      <protection locked="0"/>
    </xf>
    <xf numFmtId="2" fontId="47" fillId="7" borderId="36" xfId="2" applyNumberFormat="1" applyFont="1" applyFill="1" applyBorder="1" applyAlignment="1" applyProtection="1">
      <alignment horizontal="center" vertical="center"/>
      <protection locked="0"/>
    </xf>
    <xf numFmtId="1" fontId="47" fillId="7" borderId="37" xfId="2" applyNumberFormat="1" applyFont="1" applyFill="1" applyBorder="1" applyAlignment="1" applyProtection="1">
      <alignment horizontal="center" vertical="center"/>
      <protection locked="0"/>
    </xf>
    <xf numFmtId="170" fontId="47" fillId="7" borderId="37" xfId="2" applyNumberFormat="1" applyFont="1" applyFill="1" applyBorder="1" applyAlignment="1" applyProtection="1">
      <alignment horizontal="center" vertical="center"/>
      <protection locked="0"/>
    </xf>
    <xf numFmtId="170" fontId="48" fillId="7" borderId="36" xfId="2" applyNumberFormat="1" applyFont="1" applyFill="1" applyBorder="1" applyProtection="1">
      <protection locked="0"/>
    </xf>
    <xf numFmtId="174" fontId="48" fillId="7" borderId="36" xfId="2" applyNumberFormat="1" applyFont="1" applyFill="1" applyBorder="1" applyProtection="1">
      <protection locked="0"/>
    </xf>
    <xf numFmtId="170" fontId="48" fillId="7" borderId="37" xfId="2" applyNumberFormat="1" applyFont="1" applyFill="1" applyBorder="1" applyProtection="1">
      <protection locked="0"/>
    </xf>
    <xf numFmtId="0" fontId="74" fillId="36" borderId="82" xfId="0" applyFont="1" applyFill="1" applyBorder="1" applyAlignment="1">
      <alignment horizontal="left" vertical="center"/>
    </xf>
    <xf numFmtId="0" fontId="56" fillId="36" borderId="82" xfId="2" applyFont="1" applyFill="1" applyBorder="1" applyAlignment="1">
      <alignment horizontal="left" vertical="center"/>
    </xf>
    <xf numFmtId="0" fontId="47" fillId="31" borderId="1" xfId="2" applyFont="1" applyFill="1" applyBorder="1" applyAlignment="1" applyProtection="1">
      <alignment horizontal="left" vertical="center"/>
      <protection locked="0"/>
    </xf>
    <xf numFmtId="0" fontId="54" fillId="31" borderId="1" xfId="2" applyFont="1" applyFill="1" applyBorder="1" applyProtection="1">
      <protection locked="0"/>
    </xf>
    <xf numFmtId="0" fontId="116" fillId="31" borderId="1" xfId="136" applyFont="1" applyFill="1" applyBorder="1" applyAlignment="1" applyProtection="1">
      <alignment horizontal="left" vertical="center"/>
      <protection locked="0"/>
    </xf>
    <xf numFmtId="0" fontId="47" fillId="7" borderId="52" xfId="2" applyFont="1" applyFill="1" applyBorder="1" applyAlignment="1" applyProtection="1">
      <alignment horizontal="center" vertical="center"/>
      <protection locked="0"/>
    </xf>
    <xf numFmtId="0" fontId="47" fillId="7" borderId="5" xfId="2" applyFont="1" applyFill="1" applyBorder="1" applyAlignment="1" applyProtection="1">
      <alignment horizontal="left" vertical="center"/>
      <protection locked="0"/>
    </xf>
    <xf numFmtId="0" fontId="51" fillId="34" borderId="1" xfId="2" applyFont="1" applyFill="1" applyBorder="1" applyAlignment="1">
      <alignment horizontal="center"/>
    </xf>
    <xf numFmtId="0" fontId="117" fillId="34" borderId="1" xfId="2" applyFont="1" applyFill="1" applyBorder="1" applyAlignment="1" applyProtection="1">
      <alignment horizontal="center"/>
      <protection locked="0"/>
    </xf>
    <xf numFmtId="0" fontId="47" fillId="31" borderId="82" xfId="2" applyFont="1" applyFill="1" applyBorder="1" applyAlignment="1" applyProtection="1">
      <alignment horizontal="left" vertical="center"/>
      <protection locked="0"/>
    </xf>
    <xf numFmtId="0" fontId="54" fillId="31" borderId="82" xfId="2" applyFont="1" applyFill="1" applyBorder="1" applyProtection="1">
      <protection locked="0"/>
    </xf>
    <xf numFmtId="0" fontId="4" fillId="0" borderId="87" xfId="2" applyFont="1" applyFill="1" applyBorder="1"/>
    <xf numFmtId="0" fontId="47" fillId="7" borderId="13" xfId="2" applyFont="1" applyFill="1" applyBorder="1" applyAlignment="1" applyProtection="1">
      <alignment horizontal="left" vertical="center"/>
      <protection locked="0"/>
    </xf>
    <xf numFmtId="0" fontId="3" fillId="0" borderId="56" xfId="2" applyFill="1" applyBorder="1"/>
    <xf numFmtId="0" fontId="105" fillId="34" borderId="1" xfId="2" applyFont="1" applyFill="1" applyBorder="1"/>
    <xf numFmtId="15" fontId="105" fillId="34" borderId="1" xfId="2" applyNumberFormat="1" applyFont="1" applyFill="1" applyBorder="1"/>
    <xf numFmtId="0" fontId="47" fillId="34" borderId="1" xfId="2" applyFont="1" applyFill="1" applyBorder="1"/>
    <xf numFmtId="0" fontId="118" fillId="34" borderId="1" xfId="0" applyFont="1" applyFill="1" applyBorder="1"/>
    <xf numFmtId="0" fontId="47" fillId="34" borderId="0" xfId="2" applyFont="1" applyFill="1" applyAlignment="1" applyProtection="1">
      <alignment horizontal="center"/>
      <protection locked="0"/>
    </xf>
    <xf numFmtId="0" fontId="105" fillId="34" borderId="0" xfId="2" applyFont="1" applyFill="1" applyAlignment="1" applyProtection="1">
      <alignment horizontal="center"/>
      <protection locked="0"/>
    </xf>
  </cellXfs>
  <cellStyles count="140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ANCLAS,REZONES Y SUS PARTES,DE FUNDICION,DE HIERRO O DE ACERO" xfId="44" xr:uid="{00000000-0005-0000-0000-000018000000}"/>
    <cellStyle name="ANCLAS,REZONES Y SUS PARTES,DE FUNDICION,DE HIERRO O DE ACERO 2" xfId="45" xr:uid="{00000000-0005-0000-0000-000019000000}"/>
    <cellStyle name="Bad" xfId="46" xr:uid="{00000000-0005-0000-0000-00001A000000}"/>
    <cellStyle name="Bad 2" xfId="47" xr:uid="{00000000-0005-0000-0000-00001B000000}"/>
    <cellStyle name="C01_Main head" xfId="48" xr:uid="{00000000-0005-0000-0000-00001C000000}"/>
    <cellStyle name="C02_Column heads" xfId="49" xr:uid="{00000000-0005-0000-0000-00001D000000}"/>
    <cellStyle name="C03_Sub head bold" xfId="50" xr:uid="{00000000-0005-0000-0000-00001E000000}"/>
    <cellStyle name="C03a_Sub head" xfId="51" xr:uid="{00000000-0005-0000-0000-00001F000000}"/>
    <cellStyle name="C04_Total text white bold" xfId="52" xr:uid="{00000000-0005-0000-0000-000020000000}"/>
    <cellStyle name="C04a_Total text black with rule" xfId="53" xr:uid="{00000000-0005-0000-0000-000021000000}"/>
    <cellStyle name="C05_Main text" xfId="54" xr:uid="{00000000-0005-0000-0000-000022000000}"/>
    <cellStyle name="C06_Figs" xfId="55" xr:uid="{00000000-0005-0000-0000-000023000000}"/>
    <cellStyle name="C07_Figs 1 dec percent" xfId="56" xr:uid="{00000000-0005-0000-0000-000024000000}"/>
    <cellStyle name="C08_Figs 1 decimal" xfId="57" xr:uid="{00000000-0005-0000-0000-000025000000}"/>
    <cellStyle name="C09_Notes" xfId="58" xr:uid="{00000000-0005-0000-0000-000026000000}"/>
    <cellStyle name="Cabecera 1" xfId="59" xr:uid="{00000000-0005-0000-0000-000027000000}"/>
    <cellStyle name="Cabecera 2" xfId="60" xr:uid="{00000000-0005-0000-0000-000028000000}"/>
    <cellStyle name="Calculation" xfId="61" xr:uid="{00000000-0005-0000-0000-000029000000}"/>
    <cellStyle name="Check Cell" xfId="62" xr:uid="{00000000-0005-0000-0000-00002A000000}"/>
    <cellStyle name="Comma 2" xfId="63" xr:uid="{00000000-0005-0000-0000-00002B000000}"/>
    <cellStyle name="Comma 3" xfId="64" xr:uid="{00000000-0005-0000-0000-00002C000000}"/>
    <cellStyle name="Comma 3 2" xfId="65" xr:uid="{00000000-0005-0000-0000-00002D000000}"/>
    <cellStyle name="Comma 4" xfId="66" xr:uid="{00000000-0005-0000-0000-00002E000000}"/>
    <cellStyle name="Comma 5" xfId="67" xr:uid="{00000000-0005-0000-0000-00002F000000}"/>
    <cellStyle name="Currency 2" xfId="68" xr:uid="{00000000-0005-0000-0000-000030000000}"/>
    <cellStyle name="Currency 3" xfId="139" xr:uid="{D27AF144-880A-4E45-A6D3-EC1369428CF4}"/>
    <cellStyle name="Euro" xfId="69" xr:uid="{00000000-0005-0000-0000-000031000000}"/>
    <cellStyle name="Explanatory Text" xfId="70" xr:uid="{00000000-0005-0000-0000-000032000000}"/>
    <cellStyle name="Fecha" xfId="71" xr:uid="{00000000-0005-0000-0000-000033000000}"/>
    <cellStyle name="Fijo" xfId="72" xr:uid="{00000000-0005-0000-0000-000034000000}"/>
    <cellStyle name="Fijo - Modelo2" xfId="73" xr:uid="{00000000-0005-0000-0000-000035000000}"/>
    <cellStyle name="Heading 1" xfId="74" xr:uid="{00000000-0005-0000-0000-000037000000}"/>
    <cellStyle name="Heading 2" xfId="75" xr:uid="{00000000-0005-0000-0000-000038000000}"/>
    <cellStyle name="Heading 3" xfId="76" xr:uid="{00000000-0005-0000-0000-000039000000}"/>
    <cellStyle name="Heading 4" xfId="77" xr:uid="{00000000-0005-0000-0000-00003A000000}"/>
    <cellStyle name="Hipervínculo" xfId="136" builtinId="8"/>
    <cellStyle name="Hipervínculo 2" xfId="12" xr:uid="{00000000-0005-0000-0000-00003C000000}"/>
    <cellStyle name="Input" xfId="78" xr:uid="{00000000-0005-0000-0000-00003D000000}"/>
    <cellStyle name="Linked Cell" xfId="79" xr:uid="{00000000-0005-0000-0000-00003E000000}"/>
    <cellStyle name="Millares" xfId="1" builtinId="3"/>
    <cellStyle name="Millares 10" xfId="80" xr:uid="{00000000-0005-0000-0000-000040000000}"/>
    <cellStyle name="Millares 11" xfId="81" xr:uid="{00000000-0005-0000-0000-000041000000}"/>
    <cellStyle name="Millares 12" xfId="82" xr:uid="{00000000-0005-0000-0000-000042000000}"/>
    <cellStyle name="Millares 2" xfId="4" xr:uid="{00000000-0005-0000-0000-000043000000}"/>
    <cellStyle name="Millares 2 2" xfId="6" xr:uid="{00000000-0005-0000-0000-000044000000}"/>
    <cellStyle name="Millares 2 2 2" xfId="135" xr:uid="{00000000-0005-0000-0000-000045000000}"/>
    <cellStyle name="Millares 2 3" xfId="13" xr:uid="{00000000-0005-0000-0000-000046000000}"/>
    <cellStyle name="Millares 3" xfId="9" xr:uid="{00000000-0005-0000-0000-000047000000}"/>
    <cellStyle name="Millares 3 2" xfId="83" xr:uid="{00000000-0005-0000-0000-000048000000}"/>
    <cellStyle name="Millares 4" xfId="18" xr:uid="{00000000-0005-0000-0000-000049000000}"/>
    <cellStyle name="Millares 4 2" xfId="84" xr:uid="{00000000-0005-0000-0000-00004A000000}"/>
    <cellStyle name="Millares 40" xfId="85" xr:uid="{00000000-0005-0000-0000-00004B000000}"/>
    <cellStyle name="Millares 41" xfId="86" xr:uid="{00000000-0005-0000-0000-00004C000000}"/>
    <cellStyle name="Millares 5" xfId="87" xr:uid="{00000000-0005-0000-0000-00004D000000}"/>
    <cellStyle name="Millares 5 2" xfId="88" xr:uid="{00000000-0005-0000-0000-00004E000000}"/>
    <cellStyle name="Millares 6" xfId="89" xr:uid="{00000000-0005-0000-0000-00004F000000}"/>
    <cellStyle name="Millares 6 2" xfId="90" xr:uid="{00000000-0005-0000-0000-000050000000}"/>
    <cellStyle name="Millares 7" xfId="91" xr:uid="{00000000-0005-0000-0000-000051000000}"/>
    <cellStyle name="Millares 7 2" xfId="92" xr:uid="{00000000-0005-0000-0000-000052000000}"/>
    <cellStyle name="Millares 8" xfId="93" xr:uid="{00000000-0005-0000-0000-000053000000}"/>
    <cellStyle name="Millares 9" xfId="94" xr:uid="{00000000-0005-0000-0000-000054000000}"/>
    <cellStyle name="Millares 9 10" xfId="95" xr:uid="{00000000-0005-0000-0000-000055000000}"/>
    <cellStyle name="Millares 9 11" xfId="96" xr:uid="{00000000-0005-0000-0000-000056000000}"/>
    <cellStyle name="Millares 9 2" xfId="97" xr:uid="{00000000-0005-0000-0000-000057000000}"/>
    <cellStyle name="Millares 9 3" xfId="98" xr:uid="{00000000-0005-0000-0000-000058000000}"/>
    <cellStyle name="Millares 9 4" xfId="99" xr:uid="{00000000-0005-0000-0000-000059000000}"/>
    <cellStyle name="Millares 9 5" xfId="100" xr:uid="{00000000-0005-0000-0000-00005A000000}"/>
    <cellStyle name="Millares 9 6" xfId="101" xr:uid="{00000000-0005-0000-0000-00005B000000}"/>
    <cellStyle name="Millares 9 7" xfId="102" xr:uid="{00000000-0005-0000-0000-00005C000000}"/>
    <cellStyle name="Millares 9 8" xfId="103" xr:uid="{00000000-0005-0000-0000-00005D000000}"/>
    <cellStyle name="Millares 9 9" xfId="104" xr:uid="{00000000-0005-0000-0000-00005E000000}"/>
    <cellStyle name="Moneda 2" xfId="14" xr:uid="{00000000-0005-0000-0000-00005F000000}"/>
    <cellStyle name="Moneda 3" xfId="138" xr:uid="{D56E6D3C-3532-400B-98C8-95C80F7759BF}"/>
    <cellStyle name="Monetario" xfId="105" xr:uid="{00000000-0005-0000-0000-000060000000}"/>
    <cellStyle name="Monetario0" xfId="106" xr:uid="{00000000-0005-0000-0000-000061000000}"/>
    <cellStyle name="Normal" xfId="0" builtinId="0"/>
    <cellStyle name="Normal 10" xfId="107" xr:uid="{00000000-0005-0000-0000-000063000000}"/>
    <cellStyle name="Normal 11" xfId="137" xr:uid="{A9AFEA7E-76B8-40B0-9498-DA6ACE92C06B}"/>
    <cellStyle name="Normal 2" xfId="2" xr:uid="{00000000-0005-0000-0000-000064000000}"/>
    <cellStyle name="Normal 2 2" xfId="19" xr:uid="{00000000-0005-0000-0000-000065000000}"/>
    <cellStyle name="Normal 2 2 2" xfId="108" xr:uid="{00000000-0005-0000-0000-000066000000}"/>
    <cellStyle name="Normal 2 3" xfId="109" xr:uid="{00000000-0005-0000-0000-000067000000}"/>
    <cellStyle name="Normal 2 4" xfId="110" xr:uid="{00000000-0005-0000-0000-000068000000}"/>
    <cellStyle name="Normal 2 5" xfId="111" xr:uid="{00000000-0005-0000-0000-000069000000}"/>
    <cellStyle name="Normal 3" xfId="3" xr:uid="{00000000-0005-0000-0000-00006A000000}"/>
    <cellStyle name="Normal 3 2" xfId="15" xr:uid="{00000000-0005-0000-0000-00006B000000}"/>
    <cellStyle name="Normal 3 3" xfId="112" xr:uid="{00000000-0005-0000-0000-00006C000000}"/>
    <cellStyle name="Normal 4" xfId="8" xr:uid="{00000000-0005-0000-0000-00006D000000}"/>
    <cellStyle name="Normal 4 2" xfId="113" xr:uid="{00000000-0005-0000-0000-00006E000000}"/>
    <cellStyle name="Normal 5" xfId="16" xr:uid="{00000000-0005-0000-0000-00006F000000}"/>
    <cellStyle name="Normal 6" xfId="114" xr:uid="{00000000-0005-0000-0000-000070000000}"/>
    <cellStyle name="Normal 7" xfId="115" xr:uid="{00000000-0005-0000-0000-000071000000}"/>
    <cellStyle name="Normal 8" xfId="116" xr:uid="{00000000-0005-0000-0000-000072000000}"/>
    <cellStyle name="Normal 9" xfId="117" xr:uid="{00000000-0005-0000-0000-000073000000}"/>
    <cellStyle name="Note" xfId="118" xr:uid="{00000000-0005-0000-0000-000074000000}"/>
    <cellStyle name="Output" xfId="119" xr:uid="{00000000-0005-0000-0000-000075000000}"/>
    <cellStyle name="Percent 2" xfId="120" xr:uid="{00000000-0005-0000-0000-000076000000}"/>
    <cellStyle name="Porcentaje" xfId="7" builtinId="5"/>
    <cellStyle name="Porcentaje 2" xfId="5" xr:uid="{00000000-0005-0000-0000-000078000000}"/>
    <cellStyle name="Porcentaje 2 2" xfId="11" xr:uid="{00000000-0005-0000-0000-000079000000}"/>
    <cellStyle name="Porcentaje 3" xfId="10" xr:uid="{00000000-0005-0000-0000-00007A000000}"/>
    <cellStyle name="Porcentaje 4" xfId="17" xr:uid="{00000000-0005-0000-0000-00007B000000}"/>
    <cellStyle name="Porcentaje 5" xfId="121" xr:uid="{00000000-0005-0000-0000-00007C000000}"/>
    <cellStyle name="Porcentaje 6" xfId="122" xr:uid="{00000000-0005-0000-0000-00007D000000}"/>
    <cellStyle name="Porcentaje 7" xfId="123" xr:uid="{00000000-0005-0000-0000-00007E000000}"/>
    <cellStyle name="Porcentaje 8" xfId="124" xr:uid="{00000000-0005-0000-0000-00007F000000}"/>
    <cellStyle name="Porcentual 13" xfId="125" xr:uid="{00000000-0005-0000-0000-000080000000}"/>
    <cellStyle name="Porcentual 2" xfId="126" xr:uid="{00000000-0005-0000-0000-000081000000}"/>
    <cellStyle name="Porcentual 2 2" xfId="127" xr:uid="{00000000-0005-0000-0000-000082000000}"/>
    <cellStyle name="Porcentual 3" xfId="128" xr:uid="{00000000-0005-0000-0000-000083000000}"/>
    <cellStyle name="Punto" xfId="129" xr:uid="{00000000-0005-0000-0000-000084000000}"/>
    <cellStyle name="Punto0" xfId="130" xr:uid="{00000000-0005-0000-0000-000085000000}"/>
    <cellStyle name="Punto1 - Modelo1" xfId="131" xr:uid="{00000000-0005-0000-0000-000086000000}"/>
    <cellStyle name="Style 27" xfId="132" xr:uid="{00000000-0005-0000-0000-000087000000}"/>
    <cellStyle name="Title" xfId="133" xr:uid="{00000000-0005-0000-0000-000088000000}"/>
    <cellStyle name="Warning Text" xfId="134" xr:uid="{00000000-0005-0000-0000-000089000000}"/>
  </cellStyles>
  <dxfs count="0"/>
  <tableStyles count="0" defaultTableStyle="TableStyleMedium2" defaultPivotStyle="PivotStyleLight16"/>
  <colors>
    <mruColors>
      <color rgb="FFFFFF99"/>
      <color rgb="FFCCFF99"/>
      <color rgb="FF0000FF"/>
      <color rgb="FFF4EE00"/>
      <color rgb="FFFF00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eléctrico'!$E$9</c:f>
          <c:strCache>
            <c:ptCount val="1"/>
            <c:pt idx="0">
              <c:v>Consumos eléctricos anuales Casa en Su Lugar(MWh)=2.12</c:v>
            </c:pt>
          </c:strCache>
        </c:strRef>
      </c:tx>
      <c:layout>
        <c:manualLayout>
          <c:xMode val="edge"/>
          <c:yMode val="edge"/>
          <c:x val="9.0879776079570943E-2"/>
          <c:y val="1.8149893467628252E-2"/>
        </c:manualLayout>
      </c:layout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294191667497258"/>
          <c:y val="0.16895856767904013"/>
          <c:w val="0.45278726037409889"/>
          <c:h val="0.730003950399057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0-06AB-4F02-AC07-6670D9330266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133A-4129-8FA1-4526558EDBD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133A-4129-8FA1-4526558EDBD3}"/>
              </c:ext>
            </c:extLst>
          </c:dPt>
          <c:dPt>
            <c:idx val="3"/>
            <c:bubble3D val="0"/>
            <c:spPr>
              <a:solidFill>
                <a:srgbClr val="0070C0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133A-4129-8FA1-4526558EDBD3}"/>
              </c:ext>
            </c:extLst>
          </c:dPt>
          <c:dLbls>
            <c:dLbl>
              <c:idx val="1"/>
              <c:layout>
                <c:manualLayout>
                  <c:x val="5.5985604604385578E-2"/>
                  <c:y val="-2.36786303238112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A-4129-8FA1-4526558EDB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eléctrico'!$A$60:$A$74</c:f>
              <c:strCache>
                <c:ptCount val="15"/>
                <c:pt idx="0">
                  <c:v>Heladera</c:v>
                </c:pt>
                <c:pt idx="1">
                  <c:v>Lavarropa (Vaj.)</c:v>
                </c:pt>
                <c:pt idx="2">
                  <c:v>Iluminacion</c:v>
                </c:pt>
                <c:pt idx="3">
                  <c:v>Refrigeración Aire Acond.</c:v>
                </c:pt>
                <c:pt idx="4">
                  <c:v>Calefacción Electr.</c:v>
                </c:pt>
                <c:pt idx="5">
                  <c:v>Microonda</c:v>
                </c:pt>
                <c:pt idx="6">
                  <c:v>Cafetera+Tostadora + batidora</c:v>
                </c:pt>
                <c:pt idx="7">
                  <c:v>Informatica</c:v>
                </c:pt>
                <c:pt idx="8">
                  <c:v>TV+Radio+DVD</c:v>
                </c:pt>
                <c:pt idx="9">
                  <c:v>Stand By</c:v>
                </c:pt>
                <c:pt idx="10">
                  <c:v>Secador Pelo</c:v>
                </c:pt>
                <c:pt idx="11">
                  <c:v>Plancha</c:v>
                </c:pt>
                <c:pt idx="12">
                  <c:v>Bomba</c:v>
                </c:pt>
                <c:pt idx="13">
                  <c:v>Horno Electr.</c:v>
                </c:pt>
                <c:pt idx="14">
                  <c:v>Otros</c:v>
                </c:pt>
              </c:strCache>
            </c:strRef>
          </c:cat>
          <c:val>
            <c:numRef>
              <c:f>'Consumo eléctrico'!$C$60:$C$74</c:f>
              <c:numCache>
                <c:formatCode>0</c:formatCode>
                <c:ptCount val="15"/>
                <c:pt idx="0">
                  <c:v>730</c:v>
                </c:pt>
                <c:pt idx="1">
                  <c:v>263.56436688311692</c:v>
                </c:pt>
                <c:pt idx="2">
                  <c:v>84.120333333333349</c:v>
                </c:pt>
                <c:pt idx="3">
                  <c:v>409.2</c:v>
                </c:pt>
                <c:pt idx="4">
                  <c:v>0</c:v>
                </c:pt>
                <c:pt idx="5">
                  <c:v>0</c:v>
                </c:pt>
                <c:pt idx="6">
                  <c:v>18.25</c:v>
                </c:pt>
                <c:pt idx="7">
                  <c:v>25.184999999999995</c:v>
                </c:pt>
                <c:pt idx="8">
                  <c:v>226.11750000000001</c:v>
                </c:pt>
                <c:pt idx="9">
                  <c:v>248.346</c:v>
                </c:pt>
                <c:pt idx="10">
                  <c:v>1.825</c:v>
                </c:pt>
                <c:pt idx="11">
                  <c:v>114.97499999999999</c:v>
                </c:pt>
                <c:pt idx="12">
                  <c:v>0</c:v>
                </c:pt>
                <c:pt idx="13">
                  <c:v>0</c:v>
                </c:pt>
                <c:pt idx="14">
                  <c:v>1.2166666666666668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0-4F49-A9FB-6E30A26F05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de Gas'!$E$9</c:f>
          <c:strCache>
            <c:ptCount val="1"/>
            <c:pt idx="0">
              <c:v>Consumo de Gas =1409 m3/año</c:v>
            </c:pt>
          </c:strCache>
        </c:strRef>
      </c:tx>
      <c:layout>
        <c:manualLayout>
          <c:xMode val="edge"/>
          <c:yMode val="edge"/>
          <c:x val="0.27192008807566265"/>
          <c:y val="2.27066303360581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292782903363572"/>
          <c:y val="0.15193055259984395"/>
          <c:w val="0.79212426737745267"/>
          <c:h val="0.612978638086905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'Consumo de Gas'!$G$14</c:f>
              <c:strCache>
                <c:ptCount val="1"/>
                <c:pt idx="0">
                  <c:v>base (bim)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'Consumo de Gas'!$G$15:$G$20</c:f>
              <c:numCache>
                <c:formatCode>0.0</c:formatCode>
                <c:ptCount val="6"/>
                <c:pt idx="0">
                  <c:v>81</c:v>
                </c:pt>
                <c:pt idx="1">
                  <c:v>105</c:v>
                </c:pt>
                <c:pt idx="2">
                  <c:v>109.35000000000001</c:v>
                </c:pt>
                <c:pt idx="3">
                  <c:v>109.35000000000001</c:v>
                </c:pt>
                <c:pt idx="4">
                  <c:v>109.35000000000001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B-4636-8181-BE82BA742D18}"/>
            </c:ext>
          </c:extLst>
        </c:ser>
        <c:ser>
          <c:idx val="0"/>
          <c:order val="1"/>
          <c:tx>
            <c:strRef>
              <c:f>'Consumo de Gas'!$H$14</c:f>
              <c:strCache>
                <c:ptCount val="1"/>
                <c:pt idx="0">
                  <c:v>Calefacción (Bim)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'Consumo de Gas'!$H$15:$H$20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298.64999999999998</c:v>
                </c:pt>
                <c:pt idx="3">
                  <c:v>299.64999999999998</c:v>
                </c:pt>
                <c:pt idx="4">
                  <c:v>196.64999999999998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B-4636-8181-BE82BA74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541760"/>
        <c:axId val="189552128"/>
      </c:barChart>
      <c:lineChart>
        <c:grouping val="standard"/>
        <c:varyColors val="0"/>
        <c:ser>
          <c:idx val="2"/>
          <c:order val="2"/>
          <c:tx>
            <c:strRef>
              <c:f>'Consumo de Gas'!$I$14</c:f>
              <c:strCache>
                <c:ptCount val="1"/>
                <c:pt idx="0">
                  <c:v>Base(Nominal)</c:v>
                </c:pt>
              </c:strCache>
            </c:strRef>
          </c:tx>
          <c:spPr>
            <a:ln w="38100">
              <a:solidFill>
                <a:srgbClr val="00B050"/>
              </a:solidFill>
              <a:prstDash val="dash"/>
            </a:ln>
          </c:spPr>
          <c:marker>
            <c:symbol val="none"/>
          </c:marker>
          <c:val>
            <c:numRef>
              <c:f>'Consumo de Gas'!$I$15:$I$20</c:f>
              <c:numCache>
                <c:formatCode>0.0</c:formatCode>
                <c:ptCount val="6"/>
                <c:pt idx="0">
                  <c:v>109.35000000000001</c:v>
                </c:pt>
                <c:pt idx="1">
                  <c:v>109.35000000000001</c:v>
                </c:pt>
                <c:pt idx="2">
                  <c:v>109.35000000000001</c:v>
                </c:pt>
                <c:pt idx="3">
                  <c:v>109.35000000000001</c:v>
                </c:pt>
                <c:pt idx="4">
                  <c:v>109.35000000000001</c:v>
                </c:pt>
                <c:pt idx="5">
                  <c:v>109.35000000000001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B-4636-8181-BE82BA74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41760"/>
        <c:axId val="189552128"/>
      </c:lineChart>
      <c:catAx>
        <c:axId val="18954176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Bimestre</a:t>
                </a:r>
              </a:p>
            </c:rich>
          </c:tx>
          <c:overlay val="0"/>
        </c:title>
        <c:majorTickMark val="cross"/>
        <c:minorTickMark val="in"/>
        <c:tickLblPos val="nextTo"/>
        <c:crossAx val="189552128"/>
        <c:crosses val="autoZero"/>
        <c:auto val="1"/>
        <c:lblAlgn val="ctr"/>
        <c:lblOffset val="100"/>
        <c:noMultiLvlLbl val="0"/>
      </c:catAx>
      <c:valAx>
        <c:axId val="1895521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Consumo diario (m3/bim)</a:t>
                </a:r>
              </a:p>
            </c:rich>
          </c:tx>
          <c:layout>
            <c:manualLayout>
              <c:xMode val="edge"/>
              <c:yMode val="edge"/>
              <c:x val="2.57370220382305E-2"/>
              <c:y val="9.7876498545789878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954176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'Consumo de Gas'!$G$41</c:f>
          <c:strCache>
            <c:ptCount val="1"/>
            <c:pt idx="0">
              <c:v>Consumo Total 11106 kWh/año</c:v>
            </c:pt>
          </c:strCache>
        </c:strRef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9A3-4E49-8609-AF446625E43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9A3-4E49-8609-AF446625E4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9A3-4E49-8609-AF446625E432}"/>
              </c:ext>
            </c:extLst>
          </c:dPt>
          <c:dLbls>
            <c:dLbl>
              <c:idx val="0"/>
              <c:layout>
                <c:manualLayout>
                  <c:x val="-0.21174084189914169"/>
                  <c:y val="0.108816002071257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A3-4E49-8609-AF446625E432}"/>
                </c:ext>
              </c:extLst>
            </c:dLbl>
            <c:dLbl>
              <c:idx val="2"/>
              <c:layout>
                <c:manualLayout>
                  <c:x val="7.8970589930839132E-8"/>
                  <c:y val="-3.4474679148275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93066491688537"/>
                      <c:h val="0.25124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9A3-4E49-8609-AF446625E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Transporte</c:v>
              </c:pt>
              <c:pt idx="1">
                <c:v>Gas</c:v>
              </c:pt>
              <c:pt idx="2">
                <c:v>Emectricidad</c:v>
              </c:pt>
            </c:strLit>
          </c:cat>
          <c:val>
            <c:numRef>
              <c:f>'Consumo de Gas'!$E$39:$E$41</c:f>
              <c:numCache>
                <c:formatCode>0</c:formatCode>
                <c:ptCount val="3"/>
                <c:pt idx="0" formatCode="#,##0">
                  <c:v>7680</c:v>
                </c:pt>
                <c:pt idx="1">
                  <c:v>1409</c:v>
                </c:pt>
                <c:pt idx="2" formatCode="General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A3-4E49-8609-AF446625E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7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Transporte!$L$26</c:f>
          <c:strCache>
            <c:ptCount val="1"/>
            <c:pt idx="0">
              <c:v>Consumo de Energía Anual =47.1 MWh/año</c:v>
            </c:pt>
          </c:strCache>
        </c:strRef>
      </c:tx>
      <c:layout>
        <c:manualLayout>
          <c:xMode val="edge"/>
          <c:yMode val="edge"/>
          <c:x val="0.2156320493722069"/>
          <c:y val="2.22009255422019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Transporte!$N$18</c:f>
              <c:strCache>
                <c:ptCount val="1"/>
                <c:pt idx="0">
                  <c:v>MWh/año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6-7EB0-4025-B3F6-B326CF526DD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D-7EB0-4025-B3F6-B326CF526DD7}"/>
              </c:ext>
            </c:extLst>
          </c:dPt>
          <c:dPt>
            <c:idx val="2"/>
            <c:bubble3D val="0"/>
            <c:spPr>
              <a:solidFill>
                <a:srgbClr val="C00000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7EB0-4025-B3F6-B326CF526DD7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A-7EB0-4025-B3F6-B326CF526D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E-7EB0-4025-B3F6-B326CF526DD7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C-7EB0-4025-B3F6-B326CF526DD7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B0-4025-B3F6-B326CF526DD7}"/>
                </c:ext>
              </c:extLst>
            </c:dLbl>
            <c:dLbl>
              <c:idx val="1"/>
              <c:layout>
                <c:manualLayout>
                  <c:x val="-0.10575459317585302"/>
                  <c:y val="0.18201990376202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B0-4025-B3F6-B326CF526DD7}"/>
                </c:ext>
              </c:extLst>
            </c:dLbl>
            <c:dLbl>
              <c:idx val="2"/>
              <c:layout>
                <c:manualLayout>
                  <c:x val="0.157964041961801"/>
                  <c:y val="4.27624671916009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B0-4025-B3F6-B326CF526DD7}"/>
                </c:ext>
              </c:extLst>
            </c:dLbl>
            <c:dLbl>
              <c:idx val="3"/>
              <c:layout>
                <c:manualLayout>
                  <c:x val="2.0173750619623284E-2"/>
                  <c:y val="5.224227179935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B0-4025-B3F6-B326CF526DD7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B0-4025-B3F6-B326CF526DD7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B0-4025-B3F6-B326CF526DD7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B0-4025-B3F6-B326CF526DD7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7EB0-4025-B3F6-B326CF526DD7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B0-4025-B3F6-B326CF526DD7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B0-4025-B3F6-B326CF526DD7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B0-4025-B3F6-B326CF526DD7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EB0-4025-B3F6-B326CF526DD7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B0-4025-B3F6-B326CF526DD7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EB0-4025-B3F6-B326CF526DD7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EB0-4025-B3F6-B326CF526D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Transporte!$Q$19:$Q$22</c:f>
              <c:strCache>
                <c:ptCount val="4"/>
                <c:pt idx="0">
                  <c:v>Gas</c:v>
                </c:pt>
                <c:pt idx="1">
                  <c:v>Electricidad</c:v>
                </c:pt>
                <c:pt idx="2">
                  <c:v>Trans. Terr.</c:v>
                </c:pt>
                <c:pt idx="3">
                  <c:v>Transp. Aereo</c:v>
                </c:pt>
              </c:strCache>
            </c:strRef>
          </c:cat>
          <c:val>
            <c:numRef>
              <c:f>Transporte!$N$19:$N$22</c:f>
              <c:numCache>
                <c:formatCode>#,##0.0</c:formatCode>
                <c:ptCount val="4"/>
                <c:pt idx="0" formatCode="#,##0.00">
                  <c:v>15.236691166666619</c:v>
                </c:pt>
                <c:pt idx="1">
                  <c:v>2.0169999999999999</c:v>
                </c:pt>
                <c:pt idx="2">
                  <c:v>22.178112254024995</c:v>
                </c:pt>
                <c:pt idx="3">
                  <c:v>7.7000000000000011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7EB0-4025-B3F6-B326CF526D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Transporte!$L$25</c:f>
          <c:strCache>
            <c:ptCount val="1"/>
            <c:pt idx="0">
              <c:v>Emisiones de CO2 =10.86  Tn(CO2)/año</c:v>
            </c:pt>
          </c:strCache>
        </c:strRef>
      </c:tx>
      <c:layout>
        <c:manualLayout>
          <c:xMode val="edge"/>
          <c:yMode val="edge"/>
          <c:x val="0.2156320493722069"/>
          <c:y val="2.22009255422019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Transporte!$P$18</c:f>
              <c:strCache>
                <c:ptCount val="1"/>
                <c:pt idx="0">
                  <c:v>Tn(CO2)/año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6-7EB0-4025-B3F6-B326CF526DD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D-7EB0-4025-B3F6-B326CF526DD7}"/>
              </c:ext>
            </c:extLst>
          </c:dPt>
          <c:dPt>
            <c:idx val="2"/>
            <c:bubble3D val="0"/>
            <c:spPr>
              <a:solidFill>
                <a:srgbClr val="C00000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7EB0-4025-B3F6-B326CF526DD7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A-7EB0-4025-B3F6-B326CF526D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E-7EB0-4025-B3F6-B326CF526DD7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C-7EB0-4025-B3F6-B326CF526DD7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B0-4025-B3F6-B326CF526DD7}"/>
                </c:ext>
              </c:extLst>
            </c:dLbl>
            <c:dLbl>
              <c:idx val="1"/>
              <c:layout>
                <c:manualLayout>
                  <c:x val="-0.10575459317585302"/>
                  <c:y val="0.18201990376202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B0-4025-B3F6-B326CF526DD7}"/>
                </c:ext>
              </c:extLst>
            </c:dLbl>
            <c:dLbl>
              <c:idx val="2"/>
              <c:layout>
                <c:manualLayout>
                  <c:x val="0.13385721774447404"/>
                  <c:y val="5.66513560804898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B0-4025-B3F6-B326CF526DD7}"/>
                </c:ext>
              </c:extLst>
            </c:dLbl>
            <c:dLbl>
              <c:idx val="3"/>
              <c:layout>
                <c:manualLayout>
                  <c:x val="-0.11241343157840122"/>
                  <c:y val="7.07607903178769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B0-4025-B3F6-B326CF526DD7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B0-4025-B3F6-B326CF526DD7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B0-4025-B3F6-B326CF526DD7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B0-4025-B3F6-B326CF526DD7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7EB0-4025-B3F6-B326CF526DD7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B0-4025-B3F6-B326CF526DD7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B0-4025-B3F6-B326CF526DD7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B0-4025-B3F6-B326CF526DD7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EB0-4025-B3F6-B326CF526DD7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B0-4025-B3F6-B326CF526DD7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EB0-4025-B3F6-B326CF526DD7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EB0-4025-B3F6-B326CF526D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Transporte!$Q$19:$Q$22</c:f>
              <c:strCache>
                <c:ptCount val="4"/>
                <c:pt idx="0">
                  <c:v>Gas</c:v>
                </c:pt>
                <c:pt idx="1">
                  <c:v>Electricidad</c:v>
                </c:pt>
                <c:pt idx="2">
                  <c:v>Trans. Terr.</c:v>
                </c:pt>
                <c:pt idx="3">
                  <c:v>Transp. Aereo</c:v>
                </c:pt>
              </c:strCache>
            </c:strRef>
          </c:cat>
          <c:val>
            <c:numRef>
              <c:f>Transporte!$P$19:$P$22</c:f>
              <c:numCache>
                <c:formatCode>#,##0.000</c:formatCode>
                <c:ptCount val="4"/>
                <c:pt idx="0">
                  <c:v>3.0778116156666573</c:v>
                </c:pt>
                <c:pt idx="1">
                  <c:v>0.65955900000000001</c:v>
                </c:pt>
                <c:pt idx="2" formatCode="#,##0.00">
                  <c:v>5.2098208532958239</c:v>
                </c:pt>
                <c:pt idx="3" formatCode="#,##0.00">
                  <c:v>1.9173000000000002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7EB0-4025-B3F6-B326CF526D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AR" sz="1800" b="1"/>
              <a:t>Consumo de Energía</a:t>
            </a:r>
          </a:p>
        </c:rich>
      </c:tx>
      <c:layout>
        <c:manualLayout>
          <c:xMode val="edge"/>
          <c:yMode val="edge"/>
          <c:x val="0.37288733959680581"/>
          <c:y val="2.48226823286282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34303185015405"/>
          <c:y val="0.12411341164314103"/>
          <c:w val="0.75831637571383204"/>
          <c:h val="0.7376376038228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Transporte!$AS$57</c:f>
              <c:strCache>
                <c:ptCount val="1"/>
                <c:pt idx="0">
                  <c:v>Wh/km/pers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Transporte!$AR$58:$AR$69</c:f>
              <c:strCache>
                <c:ptCount val="12"/>
                <c:pt idx="0">
                  <c:v>Caminar</c:v>
                </c:pt>
                <c:pt idx="1">
                  <c:v>Bicy</c:v>
                </c:pt>
                <c:pt idx="2">
                  <c:v>Scooter_EE</c:v>
                </c:pt>
                <c:pt idx="3">
                  <c:v>Subte</c:v>
                </c:pt>
                <c:pt idx="4">
                  <c:v>Tranvia_EE</c:v>
                </c:pt>
                <c:pt idx="5">
                  <c:v>Bus_EE</c:v>
                </c:pt>
                <c:pt idx="6">
                  <c:v>Tren</c:v>
                </c:pt>
                <c:pt idx="7">
                  <c:v>Auto_EE</c:v>
                </c:pt>
                <c:pt idx="8">
                  <c:v>Bus_Conv</c:v>
                </c:pt>
                <c:pt idx="9">
                  <c:v>Auto_Conv</c:v>
                </c:pt>
                <c:pt idx="10">
                  <c:v>Aereo</c:v>
                </c:pt>
                <c:pt idx="11">
                  <c:v>Auto_Sport</c:v>
                </c:pt>
              </c:strCache>
            </c:strRef>
          </c:cat>
          <c:val>
            <c:numRef>
              <c:f>Transporte!$AS$58:$AS$69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0.0">
                  <c:v>5.5555555555555554</c:v>
                </c:pt>
                <c:pt idx="3" formatCode="0.0">
                  <c:v>8.3333333333333339</c:v>
                </c:pt>
                <c:pt idx="4" formatCode="0.0">
                  <c:v>8.6111111111111107</c:v>
                </c:pt>
                <c:pt idx="5" formatCode="0.0">
                  <c:v>24.166666666666668</c:v>
                </c:pt>
                <c:pt idx="6" formatCode="0.0">
                  <c:v>27.222222222222221</c:v>
                </c:pt>
                <c:pt idx="7" formatCode="0.0">
                  <c:v>32.222222222222221</c:v>
                </c:pt>
                <c:pt idx="8" formatCode="0.0">
                  <c:v>75</c:v>
                </c:pt>
                <c:pt idx="9" formatCode="0.0">
                  <c:v>105.55555555555556</c:v>
                </c:pt>
                <c:pt idx="10" formatCode="0.0">
                  <c:v>354.72222222222223</c:v>
                </c:pt>
                <c:pt idx="11" formatCode="0.0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04-4227-9CCB-0DEC0EC60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24"/>
        <c:axId val="307071488"/>
        <c:axId val="305961728"/>
      </c:barChart>
      <c:catAx>
        <c:axId val="307071488"/>
        <c:scaling>
          <c:orientation val="minMax"/>
        </c:scaling>
        <c:delete val="0"/>
        <c:axPos val="l"/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5961728"/>
        <c:crosses val="autoZero"/>
        <c:auto val="1"/>
        <c:lblAlgn val="ctr"/>
        <c:lblOffset val="100"/>
        <c:noMultiLvlLbl val="0"/>
      </c:catAx>
      <c:valAx>
        <c:axId val="305961728"/>
        <c:scaling>
          <c:orientation val="minMax"/>
        </c:scaling>
        <c:delete val="0"/>
        <c:axPos val="b"/>
        <c:majorGridlines>
          <c:spPr>
            <a:ln w="3175"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Wh</a:t>
                </a:r>
                <a:r>
                  <a:rPr lang="x-none"/>
                  <a:t>/km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071488"/>
        <c:crosses val="autoZero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AR" sz="1800" b="1"/>
              <a:t>Consumo Wh/km/pers</a:t>
            </a:r>
          </a:p>
        </c:rich>
      </c:tx>
      <c:layout>
        <c:manualLayout>
          <c:xMode val="edge"/>
          <c:yMode val="edge"/>
          <c:x val="0.38122069116360457"/>
          <c:y val="6.30431612715077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867634266761645"/>
          <c:y val="0.10096529600466608"/>
          <c:w val="0.71664960629921259"/>
          <c:h val="0.7376376038228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Transporte!$AE$32</c:f>
              <c:strCache>
                <c:ptCount val="1"/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Transporte!$AB$33:$AB$45</c:f>
              <c:numCache>
                <c:formatCode>General</c:formatCode>
                <c:ptCount val="13"/>
              </c:numCache>
            </c:numRef>
          </c:cat>
          <c:val>
            <c:numRef>
              <c:f>Transporte!$AE$33:$AE$45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FBE7-4929-92AE-2E7DC1AC0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24"/>
        <c:axId val="307071488"/>
        <c:axId val="305961728"/>
      </c:barChart>
      <c:catAx>
        <c:axId val="307071488"/>
        <c:scaling>
          <c:orientation val="minMax"/>
        </c:scaling>
        <c:delete val="0"/>
        <c:axPos val="l"/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5961728"/>
        <c:crosses val="autoZero"/>
        <c:auto val="1"/>
        <c:lblAlgn val="ctr"/>
        <c:lblOffset val="100"/>
        <c:noMultiLvlLbl val="0"/>
      </c:catAx>
      <c:valAx>
        <c:axId val="305961728"/>
        <c:scaling>
          <c:orientation val="minMax"/>
        </c:scaling>
        <c:delete val="0"/>
        <c:axPos val="b"/>
        <c:majorGridlines>
          <c:spPr>
            <a:ln w="3175"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Wh</a:t>
                </a:r>
                <a:r>
                  <a:rPr lang="x-none"/>
                  <a:t>/km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071488"/>
        <c:crosses val="autoZero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AR" sz="1800" b="1"/>
              <a:t>Consumo Wh/km/pers</a:t>
            </a:r>
          </a:p>
        </c:rich>
      </c:tx>
      <c:layout>
        <c:manualLayout>
          <c:xMode val="edge"/>
          <c:yMode val="edge"/>
          <c:x val="0.31455409329704576"/>
          <c:y val="6.30415454835228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23233097820013"/>
          <c:y val="0.10997221254697719"/>
          <c:w val="0.72220510109472913"/>
          <c:h val="0.776028695004069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Transporte!$AE$32</c:f>
              <c:strCache>
                <c:ptCount val="1"/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13"/>
              <c:layout>
                <c:manualLayout>
                  <c:x val="-2.5000005468067688E-2"/>
                  <c:y val="-5.118829736101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0-447E-9882-77F2EB306A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Transporte!$W$33:$W$46</c:f>
              <c:strCache>
                <c:ptCount val="14"/>
                <c:pt idx="2">
                  <c:v>Bicy_EE</c:v>
                </c:pt>
                <c:pt idx="3">
                  <c:v>Subte</c:v>
                </c:pt>
                <c:pt idx="4">
                  <c:v>Tranvia</c:v>
                </c:pt>
                <c:pt idx="5">
                  <c:v>EE_Bus</c:v>
                </c:pt>
                <c:pt idx="6">
                  <c:v>EE_Scoot</c:v>
                </c:pt>
                <c:pt idx="7">
                  <c:v>Tren</c:v>
                </c:pt>
                <c:pt idx="8">
                  <c:v>Bus</c:v>
                </c:pt>
                <c:pt idx="9">
                  <c:v>Mini_Car_EE</c:v>
                </c:pt>
                <c:pt idx="10">
                  <c:v>EE_Auto</c:v>
                </c:pt>
                <c:pt idx="11">
                  <c:v>Avión</c:v>
                </c:pt>
                <c:pt idx="12">
                  <c:v>Auto conv.</c:v>
                </c:pt>
                <c:pt idx="13">
                  <c:v>Auto Sport</c:v>
                </c:pt>
              </c:strCache>
            </c:strRef>
          </c:cat>
          <c:val>
            <c:numRef>
              <c:f>Transporte!$X$34:$X$46</c:f>
              <c:numCache>
                <c:formatCode>General</c:formatCode>
                <c:ptCount val="13"/>
                <c:pt idx="1">
                  <c:v>15</c:v>
                </c:pt>
                <c:pt idx="2" formatCode="0.0">
                  <c:v>8.3333333333333339</c:v>
                </c:pt>
                <c:pt idx="3" formatCode="0.0">
                  <c:v>8.6111111111111107</c:v>
                </c:pt>
                <c:pt idx="4" formatCode="0.0">
                  <c:v>24.166666666666668</c:v>
                </c:pt>
                <c:pt idx="5" formatCode="0">
                  <c:v>35</c:v>
                </c:pt>
                <c:pt idx="6" formatCode="0">
                  <c:v>50</c:v>
                </c:pt>
                <c:pt idx="7" formatCode="0">
                  <c:v>121</c:v>
                </c:pt>
                <c:pt idx="8">
                  <c:v>150</c:v>
                </c:pt>
                <c:pt idx="9" formatCode="0">
                  <c:v>200</c:v>
                </c:pt>
                <c:pt idx="10" formatCode="0">
                  <c:v>354.72222222222223</c:v>
                </c:pt>
                <c:pt idx="11" formatCode="0">
                  <c:v>1200</c:v>
                </c:pt>
                <c:pt idx="12" formatCode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E7-4929-92AE-2E7DC1AC0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24"/>
        <c:axId val="307071488"/>
        <c:axId val="305961728"/>
      </c:barChart>
      <c:catAx>
        <c:axId val="307071488"/>
        <c:scaling>
          <c:orientation val="minMax"/>
        </c:scaling>
        <c:delete val="0"/>
        <c:axPos val="l"/>
        <c:numFmt formatCode="General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5961728"/>
        <c:crosses val="autoZero"/>
        <c:auto val="1"/>
        <c:lblAlgn val="ctr"/>
        <c:lblOffset val="100"/>
        <c:noMultiLvlLbl val="0"/>
      </c:catAx>
      <c:valAx>
        <c:axId val="305961728"/>
        <c:scaling>
          <c:orientation val="minMax"/>
          <c:max val="1600"/>
          <c:min val="0"/>
        </c:scaling>
        <c:delete val="0"/>
        <c:axPos val="b"/>
        <c:majorGridlines>
          <c:spPr>
            <a:ln w="3175"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Wh</a:t>
                </a:r>
                <a:r>
                  <a:rPr lang="x-none"/>
                  <a:t>/km</a:t>
                </a:r>
                <a:r>
                  <a:rPr lang="en-US"/>
                  <a:t>/pasaj.</a:t>
                </a:r>
                <a:endParaRPr lang="x-none"/>
              </a:p>
            </c:rich>
          </c:tx>
          <c:layout>
            <c:manualLayout>
              <c:xMode val="edge"/>
              <c:yMode val="edge"/>
              <c:x val="0.45612652146249377"/>
              <c:y val="0.79247411111555222"/>
            </c:manualLayout>
          </c:layout>
          <c:overlay val="0"/>
        </c:title>
        <c:numFmt formatCode="0" sourceLinked="0"/>
        <c:majorTickMark val="cross"/>
        <c:minorTickMark val="in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071488"/>
        <c:crosses val="autoZero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por ciclo de lavado  Vs temperatura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Lavavajilla!$D$7:$D$8</c:f>
              <c:strCache>
                <c:ptCount val="2"/>
                <c:pt idx="0">
                  <c:v>Consumo por ciclo lavado</c:v>
                </c:pt>
                <c:pt idx="1">
                  <c:v>kWh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Lavavajilla!$C$9:$C$19</c:f>
              <c:numCache>
                <c:formatCode>General</c:formatCode>
                <c:ptCount val="11"/>
                <c:pt idx="0">
                  <c:v>73</c:v>
                </c:pt>
                <c:pt idx="1">
                  <c:v>73</c:v>
                </c:pt>
                <c:pt idx="2">
                  <c:v>65</c:v>
                </c:pt>
                <c:pt idx="3">
                  <c:v>70</c:v>
                </c:pt>
                <c:pt idx="4">
                  <c:v>60</c:v>
                </c:pt>
                <c:pt idx="5">
                  <c:v>55</c:v>
                </c:pt>
                <c:pt idx="6">
                  <c:v>55</c:v>
                </c:pt>
                <c:pt idx="7">
                  <c:v>45</c:v>
                </c:pt>
                <c:pt idx="8">
                  <c:v>45</c:v>
                </c:pt>
                <c:pt idx="9">
                  <c:v>65</c:v>
                </c:pt>
                <c:pt idx="10">
                  <c:v>50</c:v>
                </c:pt>
              </c:numCache>
            </c:numRef>
          </c:xVal>
          <c:yVal>
            <c:numRef>
              <c:f>Lavavajilla!$D$9:$D$19</c:f>
              <c:numCache>
                <c:formatCode>General</c:formatCode>
                <c:ptCount val="11"/>
                <c:pt idx="0">
                  <c:v>1.504</c:v>
                </c:pt>
                <c:pt idx="1">
                  <c:v>1.5649999999999999</c:v>
                </c:pt>
                <c:pt idx="2">
                  <c:v>1.2889999999999999</c:v>
                </c:pt>
                <c:pt idx="3">
                  <c:v>1.5489999999999999</c:v>
                </c:pt>
                <c:pt idx="4">
                  <c:v>1.1850000000000001</c:v>
                </c:pt>
                <c:pt idx="5">
                  <c:v>0.97699999999999998</c:v>
                </c:pt>
                <c:pt idx="6">
                  <c:v>1.0649999999999999</c:v>
                </c:pt>
                <c:pt idx="7">
                  <c:v>0.80600000000000005</c:v>
                </c:pt>
                <c:pt idx="8">
                  <c:v>0.76300000000000001</c:v>
                </c:pt>
                <c:pt idx="9">
                  <c:v>0.90300000000000002</c:v>
                </c:pt>
                <c:pt idx="10">
                  <c:v>0.57599999999999996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58-45C8-9207-FD23A67A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14624"/>
        <c:axId val="199916544"/>
      </c:scatterChart>
      <c:valAx>
        <c:axId val="199914624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Temperatura de lavado (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rnd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16544"/>
        <c:crosses val="autoZero"/>
        <c:crossBetween val="midCat"/>
      </c:valAx>
      <c:valAx>
        <c:axId val="19991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Consumo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rnd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14624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Consumo anualizado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F6-47FD-9424-ED9C34D9E6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F6-47FD-9424-ED9C34D9E6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F6-47FD-9424-ED9C34D9E6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F6-47FD-9424-ED9C34D9E6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F6-47FD-9424-ED9C34D9E6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F6-47FD-9424-ED9C34D9E6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Lavavajilla!$B$34:$G$34</c:f>
              <c:strCache>
                <c:ptCount val="4"/>
                <c:pt idx="0">
                  <c:v>Consumo anual lavavajillas [kWh]</c:v>
                </c:pt>
                <c:pt idx="3">
                  <c:v>Consumo anual hogar [kWh]</c:v>
                </c:pt>
              </c:strCache>
            </c:strRef>
          </c:cat>
          <c:val>
            <c:numRef>
              <c:f>Lavavajilla!$B$35:$G$35</c:f>
              <c:numCache>
                <c:formatCode>General</c:formatCode>
                <c:ptCount val="6"/>
                <c:pt idx="0">
                  <c:v>365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F6-47FD-9424-ED9C34D9E67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por ano de lavado  Vs temperatura</a:t>
            </a:r>
          </a:p>
        </c:rich>
      </c:tx>
      <c:layout>
        <c:manualLayout>
          <c:xMode val="edge"/>
          <c:yMode val="edge"/>
          <c:x val="0.1890110734425868"/>
          <c:y val="3.4446712563068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Lavavajilla!$F$7:$F$8</c:f>
              <c:strCache>
                <c:ptCount val="2"/>
                <c:pt idx="0">
                  <c:v>consumo Annual</c:v>
                </c:pt>
                <c:pt idx="1">
                  <c:v>MWh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triangle"/>
            <c:size val="10"/>
            <c:spPr>
              <a:noFill/>
              <a:ln w="317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Lavavajilla!$C$9:$C$19</c:f>
              <c:numCache>
                <c:formatCode>General</c:formatCode>
                <c:ptCount val="11"/>
                <c:pt idx="0">
                  <c:v>73</c:v>
                </c:pt>
                <c:pt idx="1">
                  <c:v>73</c:v>
                </c:pt>
                <c:pt idx="2">
                  <c:v>65</c:v>
                </c:pt>
                <c:pt idx="3">
                  <c:v>70</c:v>
                </c:pt>
                <c:pt idx="4">
                  <c:v>60</c:v>
                </c:pt>
                <c:pt idx="5">
                  <c:v>55</c:v>
                </c:pt>
                <c:pt idx="6">
                  <c:v>55</c:v>
                </c:pt>
                <c:pt idx="7">
                  <c:v>45</c:v>
                </c:pt>
                <c:pt idx="8">
                  <c:v>45</c:v>
                </c:pt>
                <c:pt idx="9">
                  <c:v>65</c:v>
                </c:pt>
                <c:pt idx="10">
                  <c:v>50</c:v>
                </c:pt>
              </c:numCache>
            </c:numRef>
          </c:xVal>
          <c:yVal>
            <c:numRef>
              <c:f>Lavavajilla!$F$9:$F$19</c:f>
              <c:numCache>
                <c:formatCode>0.000</c:formatCode>
                <c:ptCount val="11"/>
                <c:pt idx="0">
                  <c:v>0.52639999999999998</c:v>
                </c:pt>
                <c:pt idx="1">
                  <c:v>0.54774999999999996</c:v>
                </c:pt>
                <c:pt idx="2">
                  <c:v>0.45115</c:v>
                </c:pt>
                <c:pt idx="3">
                  <c:v>0.54215000000000002</c:v>
                </c:pt>
                <c:pt idx="4">
                  <c:v>0.41475000000000001</c:v>
                </c:pt>
                <c:pt idx="5">
                  <c:v>0.34194999999999998</c:v>
                </c:pt>
                <c:pt idx="6">
                  <c:v>0.37275000000000003</c:v>
                </c:pt>
                <c:pt idx="7">
                  <c:v>0.28210000000000002</c:v>
                </c:pt>
                <c:pt idx="8">
                  <c:v>0.26705000000000001</c:v>
                </c:pt>
                <c:pt idx="9">
                  <c:v>0.31605</c:v>
                </c:pt>
                <c:pt idx="10">
                  <c:v>0.2016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69-45F7-BC4F-7C7F61AD3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52256"/>
        <c:axId val="199962624"/>
      </c:scatterChart>
      <c:valAx>
        <c:axId val="199952256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Temperatura de lavado ( 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rnd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2624"/>
        <c:crosses val="autoZero"/>
        <c:crossBetween val="midCat"/>
      </c:valAx>
      <c:valAx>
        <c:axId val="1999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Consumo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cross"/>
        <c:minorTickMark val="in"/>
        <c:tickLblPos val="nextTo"/>
        <c:spPr>
          <a:noFill/>
          <a:ln w="9525" cap="rnd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52256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prstDash val="solid"/>
      <a:round/>
    </a:ln>
    <a:effectLst/>
  </c:spPr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eléctrico'!$G$83</c:f>
          <c:strCache>
            <c:ptCount val="1"/>
            <c:pt idx="0">
              <c:v>Consumos total gas+electricidad Casa en Su Lugar (kWh)=17359</c:v>
            </c:pt>
          </c:strCache>
        </c:strRef>
      </c:tx>
      <c:layout>
        <c:manualLayout>
          <c:xMode val="edge"/>
          <c:yMode val="edge"/>
          <c:x val="0.11145327334375253"/>
          <c:y val="7.1943768897331228E-2"/>
        </c:manualLayout>
      </c:layout>
      <c:overlay val="0"/>
      <c:txPr>
        <a:bodyPr/>
        <a:lstStyle/>
        <a:p>
          <a:pPr>
            <a:defRPr sz="28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4724762825175"/>
          <c:y val="0.15150341861288735"/>
          <c:w val="0.57485305533991349"/>
          <c:h val="0.610996510915177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9590-4FCA-AE3C-26D71D98210F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9590-4FCA-AE3C-26D71D98210F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590-4FCA-AE3C-26D71D98210F}"/>
              </c:ext>
            </c:extLst>
          </c:dPt>
          <c:dPt>
            <c:idx val="1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9590-4FCA-AE3C-26D71D98210F}"/>
              </c:ext>
            </c:extLst>
          </c:dPt>
          <c:dPt>
            <c:idx val="15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590-4FCA-AE3C-26D71D98210F}"/>
              </c:ext>
            </c:extLst>
          </c:dPt>
          <c:dPt>
            <c:idx val="16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9590-4FCA-AE3C-26D71D98210F}"/>
              </c:ext>
            </c:extLst>
          </c:dPt>
          <c:dPt>
            <c:idx val="17"/>
            <c:bubble3D val="0"/>
            <c:spPr>
              <a:solidFill>
                <a:srgbClr val="FF0000">
                  <a:alpha val="44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590-4FCA-AE3C-26D71D98210F}"/>
              </c:ext>
            </c:extLst>
          </c:dPt>
          <c:dPt>
            <c:idx val="1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F-9590-4FCA-AE3C-26D71D98210F}"/>
              </c:ext>
            </c:extLst>
          </c:dPt>
          <c:dPt>
            <c:idx val="19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1-9590-4FCA-AE3C-26D71D9821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eléctrico'!$G$60:$G$78</c:f>
              <c:strCache>
                <c:ptCount val="19"/>
                <c:pt idx="0">
                  <c:v>Heladera</c:v>
                </c:pt>
                <c:pt idx="1">
                  <c:v>Lavarropa (Vaj.)</c:v>
                </c:pt>
                <c:pt idx="2">
                  <c:v>Iluminacion</c:v>
                </c:pt>
                <c:pt idx="3">
                  <c:v>Refrigeración Aire Acond.</c:v>
                </c:pt>
                <c:pt idx="4">
                  <c:v>Calef. Electricidad</c:v>
                </c:pt>
                <c:pt idx="5">
                  <c:v>Microonda</c:v>
                </c:pt>
                <c:pt idx="6">
                  <c:v>Cafetera+Tostadora + batidora</c:v>
                </c:pt>
                <c:pt idx="7">
                  <c:v>Informatica</c:v>
                </c:pt>
                <c:pt idx="8">
                  <c:v>TV+Radio+DVD</c:v>
                </c:pt>
                <c:pt idx="9">
                  <c:v>Stand By</c:v>
                </c:pt>
                <c:pt idx="10">
                  <c:v>Secador Pelo</c:v>
                </c:pt>
                <c:pt idx="11">
                  <c:v>Plancha</c:v>
                </c:pt>
                <c:pt idx="12">
                  <c:v>Bomba</c:v>
                </c:pt>
                <c:pt idx="13">
                  <c:v>Horno Electr.</c:v>
                </c:pt>
                <c:pt idx="14">
                  <c:v>Otros</c:v>
                </c:pt>
                <c:pt idx="15">
                  <c:v>Cocción</c:v>
                </c:pt>
                <c:pt idx="16">
                  <c:v>ACS</c:v>
                </c:pt>
                <c:pt idx="17">
                  <c:v>Piloto</c:v>
                </c:pt>
                <c:pt idx="18">
                  <c:v>Calef. GAS</c:v>
                </c:pt>
              </c:strCache>
            </c:strRef>
          </c:cat>
          <c:val>
            <c:numRef>
              <c:f>'Consumo eléctrico'!$H$60:$H$78</c:f>
              <c:numCache>
                <c:formatCode>0</c:formatCode>
                <c:ptCount val="19"/>
                <c:pt idx="0">
                  <c:v>730</c:v>
                </c:pt>
                <c:pt idx="1">
                  <c:v>263.56436688311692</c:v>
                </c:pt>
                <c:pt idx="2">
                  <c:v>84.120333333333349</c:v>
                </c:pt>
                <c:pt idx="3">
                  <c:v>409.2</c:v>
                </c:pt>
                <c:pt idx="4">
                  <c:v>0</c:v>
                </c:pt>
                <c:pt idx="5">
                  <c:v>0</c:v>
                </c:pt>
                <c:pt idx="6">
                  <c:v>18.25</c:v>
                </c:pt>
                <c:pt idx="7">
                  <c:v>25.184999999999995</c:v>
                </c:pt>
                <c:pt idx="8">
                  <c:v>226.11750000000001</c:v>
                </c:pt>
                <c:pt idx="9">
                  <c:v>248.346</c:v>
                </c:pt>
                <c:pt idx="10">
                  <c:v>1.825</c:v>
                </c:pt>
                <c:pt idx="11">
                  <c:v>114.97499999999999</c:v>
                </c:pt>
                <c:pt idx="12">
                  <c:v>0</c:v>
                </c:pt>
                <c:pt idx="13">
                  <c:v>0</c:v>
                </c:pt>
                <c:pt idx="14">
                  <c:v>1.2166666666666668</c:v>
                </c:pt>
                <c:pt idx="15">
                  <c:v>1263.0557333333293</c:v>
                </c:pt>
                <c:pt idx="16">
                  <c:v>3601.0064999999895</c:v>
                </c:pt>
                <c:pt idx="17">
                  <c:v>1776.1721249999944</c:v>
                </c:pt>
                <c:pt idx="18">
                  <c:v>8596.4568083333052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2-4A09-847D-E4034CF44E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Heladera!$B$2</c:f>
          <c:strCache>
            <c:ptCount val="1"/>
            <c:pt idx="0">
              <c:v>Heldera  A++  Abril 2021</c:v>
            </c:pt>
          </c:strCache>
        </c:strRef>
      </c:tx>
      <c:layout>
        <c:manualLayout>
          <c:xMode val="edge"/>
          <c:yMode val="edge"/>
          <c:x val="0.33296741032370952"/>
          <c:y val="5.155110819480898E-2"/>
        </c:manualLayout>
      </c:layout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98467162422282"/>
          <c:y val="0.17247710291837196"/>
          <c:w val="0.77991426071741032"/>
          <c:h val="0.5820745844269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Heladera!$F$5</c:f>
              <c:strCache>
                <c:ptCount val="1"/>
                <c:pt idx="0">
                  <c:v>Ei(Wh)</c:v>
                </c:pt>
              </c:strCache>
            </c:strRef>
          </c:tx>
          <c:spPr>
            <a:ln w="34925">
              <a:noFill/>
            </a:ln>
          </c:spPr>
          <c:marker>
            <c:symbol val="circle"/>
            <c:size val="10"/>
            <c:spPr>
              <a:noFill/>
              <a:ln w="31750">
                <a:solidFill>
                  <a:srgbClr val="0070C0"/>
                </a:solidFill>
              </a:ln>
            </c:spPr>
          </c:marker>
          <c:dLbls>
            <c:delete val="1"/>
          </c:dLbls>
          <c:trendline>
            <c:spPr>
              <a:ln w="19050">
                <a:solidFill>
                  <a:srgbClr val="FF0000"/>
                </a:solidFill>
              </a:ln>
            </c:spPr>
            <c:trendlineType val="linear"/>
            <c:forward val="1"/>
            <c:dispRSqr val="1"/>
            <c:dispEq val="1"/>
            <c:trendlineLbl>
              <c:layout>
                <c:manualLayout>
                  <c:x val="-1.713254593175853E-3"/>
                  <c:y val="0.2117822251385243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Heladera!$E$6:$E$15</c:f>
              <c:numCache>
                <c:formatCode>_-* #,##0.00\ _€_-;\-* #,##0.00\ _€_-;_-* "-"??\ _€_-;_-@_-</c:formatCode>
                <c:ptCount val="10"/>
                <c:pt idx="0">
                  <c:v>0</c:v>
                </c:pt>
                <c:pt idx="1">
                  <c:v>0.2631944444444444</c:v>
                </c:pt>
                <c:pt idx="2">
                  <c:v>0.4604166666666667</c:v>
                </c:pt>
                <c:pt idx="3">
                  <c:v>1.0569444444444445</c:v>
                </c:pt>
                <c:pt idx="4">
                  <c:v>1.2430555555555554</c:v>
                </c:pt>
                <c:pt idx="5">
                  <c:v>1.2847222222222219</c:v>
                </c:pt>
                <c:pt idx="6">
                  <c:v>1.3263888888888888</c:v>
                </c:pt>
                <c:pt idx="7">
                  <c:v>1.3680555555555558</c:v>
                </c:pt>
                <c:pt idx="8">
                  <c:v>1.4097222222222219</c:v>
                </c:pt>
                <c:pt idx="9">
                  <c:v>1.4513888888888888</c:v>
                </c:pt>
              </c:numCache>
            </c:numRef>
          </c:xVal>
          <c:yVal>
            <c:numRef>
              <c:f>Heladera!$F$6:$F$15</c:f>
              <c:numCache>
                <c:formatCode>General</c:formatCode>
                <c:ptCount val="10"/>
                <c:pt idx="0">
                  <c:v>2090</c:v>
                </c:pt>
                <c:pt idx="1">
                  <c:v>2246</c:v>
                </c:pt>
                <c:pt idx="2">
                  <c:v>2408</c:v>
                </c:pt>
                <c:pt idx="3">
                  <c:v>2846</c:v>
                </c:pt>
                <c:pt idx="4">
                  <c:v>2890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41-4924-A9F2-5CF37C86DA02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56622464"/>
        <c:axId val="168642048"/>
      </c:scatterChart>
      <c:valAx>
        <c:axId val="56622464"/>
        <c:scaling>
          <c:orientation val="minMax"/>
          <c:max val="2.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tiempo (día)</a:t>
                </a:r>
              </a:p>
            </c:rich>
          </c:tx>
          <c:overlay val="0"/>
        </c:title>
        <c:numFmt formatCode="#,##0.0" sourceLinked="0"/>
        <c:majorTickMark val="cross"/>
        <c:minorTickMark val="in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68642048"/>
        <c:crosses val="autoZero"/>
        <c:crossBetween val="midCat"/>
      </c:valAx>
      <c:valAx>
        <c:axId val="16864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Consumo (Wh)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56622464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Heladera!$B$2</c:f>
          <c:strCache>
            <c:ptCount val="1"/>
            <c:pt idx="0">
              <c:v>Heldera  A++  Abril 2021</c:v>
            </c:pt>
          </c:strCache>
        </c:strRef>
      </c:tx>
      <c:layout>
        <c:manualLayout>
          <c:xMode val="edge"/>
          <c:yMode val="edge"/>
          <c:x val="0.33296741032370952"/>
          <c:y val="5.1551108194808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98467162422282"/>
          <c:y val="0.17247710291837196"/>
          <c:w val="0.77991426071741032"/>
          <c:h val="0.5820745844269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Heladera!$F$5</c:f>
              <c:strCache>
                <c:ptCount val="1"/>
                <c:pt idx="0">
                  <c:v>Ei(Wh)</c:v>
                </c:pt>
              </c:strCache>
            </c:strRef>
          </c:tx>
          <c:spPr>
            <a:ln w="34925">
              <a:noFill/>
            </a:ln>
          </c:spPr>
          <c:marker>
            <c:symbol val="circle"/>
            <c:size val="10"/>
            <c:spPr>
              <a:noFill/>
              <a:ln w="31750">
                <a:solidFill>
                  <a:srgbClr val="0070C0"/>
                </a:solidFill>
              </a:ln>
            </c:spPr>
          </c:marker>
          <c:dLbls>
            <c:delete val="1"/>
          </c:dLbls>
          <c:trendline>
            <c:spPr>
              <a:ln w="19050">
                <a:solidFill>
                  <a:srgbClr val="FF0000"/>
                </a:solidFill>
              </a:ln>
            </c:spPr>
            <c:trendlineType val="linear"/>
            <c:forward val="1"/>
            <c:intercept val="0"/>
            <c:dispRSqr val="1"/>
            <c:dispEq val="1"/>
            <c:trendlineLbl>
              <c:layout>
                <c:manualLayout>
                  <c:x val="-0.11515858337856497"/>
                  <c:y val="0.24970180106082687"/>
                </c:manualLayout>
              </c:layout>
              <c:numFmt formatCode="#,##0.0" sourceLinked="0"/>
            </c:trendlineLbl>
          </c:trendline>
          <c:xVal>
            <c:numRef>
              <c:f>Heladera!$E$27:$E$31</c:f>
              <c:numCache>
                <c:formatCode>_-* #,##0.00\ _€_-;\-* #,##0.00\ _€_-;_-* "-"??\ _€_-;_-@_-</c:formatCode>
                <c:ptCount val="5"/>
                <c:pt idx="0">
                  <c:v>0</c:v>
                </c:pt>
                <c:pt idx="1">
                  <c:v>0.10347222222222219</c:v>
                </c:pt>
                <c:pt idx="2">
                  <c:v>0.83958333333333324</c:v>
                </c:pt>
                <c:pt idx="3">
                  <c:v>0.94305555555555554</c:v>
                </c:pt>
                <c:pt idx="4">
                  <c:v>1.0805555555555557</c:v>
                </c:pt>
              </c:numCache>
            </c:numRef>
          </c:xVal>
          <c:yVal>
            <c:numRef>
              <c:f>Heladera!$F$27:$F$31</c:f>
              <c:numCache>
                <c:formatCode>General</c:formatCode>
                <c:ptCount val="5"/>
                <c:pt idx="0">
                  <c:v>0</c:v>
                </c:pt>
                <c:pt idx="1">
                  <c:v>103</c:v>
                </c:pt>
                <c:pt idx="2">
                  <c:v>662</c:v>
                </c:pt>
                <c:pt idx="3">
                  <c:v>770</c:v>
                </c:pt>
                <c:pt idx="4">
                  <c:v>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41-4924-A9F2-5CF37C86DA02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56622464"/>
        <c:axId val="168642048"/>
      </c:scatterChart>
      <c:valAx>
        <c:axId val="56622464"/>
        <c:scaling>
          <c:orientation val="minMax"/>
          <c:max val="1.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tiempo (día)</a:t>
                </a:r>
              </a:p>
            </c:rich>
          </c:tx>
          <c:overlay val="0"/>
        </c:title>
        <c:numFmt formatCode="#,##0.0" sourceLinked="0"/>
        <c:majorTickMark val="cross"/>
        <c:minorTickMark val="in"/>
        <c:tickLblPos val="nextTo"/>
        <c:crossAx val="168642048"/>
        <c:crosses val="autoZero"/>
        <c:crossBetween val="midCat"/>
      </c:valAx>
      <c:valAx>
        <c:axId val="168642048"/>
        <c:scaling>
          <c:orientation val="minMax"/>
          <c:max val="1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Consumo (Wh)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crossAx val="56622464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de Gas'!$A$10</c:f>
          <c:strCache>
            <c:ptCount val="1"/>
            <c:pt idx="0">
              <c:v>Consumo de Gas =11.11 MWh/año =1409 m3/año</c:v>
            </c:pt>
          </c:strCache>
        </c:strRef>
      </c:tx>
      <c:layout>
        <c:manualLayout>
          <c:xMode val="edge"/>
          <c:yMode val="edge"/>
          <c:x val="0.21621888963541416"/>
          <c:y val="5.6014479501253989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73110938418655"/>
          <c:y val="0.13567406676474242"/>
          <c:w val="0.50181800018486167"/>
          <c:h val="0.852891764337277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>
                  <a:alpha val="56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83CB-4FA3-A23E-E2B79C2EFA0A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3CB-4FA3-A23E-E2B79C2EFA0A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3CB-4FA3-A23E-E2B79C2EFA0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83CB-4FA3-A23E-E2B79C2EFA0A}"/>
              </c:ext>
            </c:extLst>
          </c:dPt>
          <c:dLbls>
            <c:dLbl>
              <c:idx val="0"/>
              <c:layout>
                <c:manualLayout>
                  <c:x val="3.5577643791621885E-2"/>
                  <c:y val="-4.09150725965344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CB-4FA3-A23E-E2B79C2EFA0A}"/>
                </c:ext>
              </c:extLst>
            </c:dLbl>
            <c:dLbl>
              <c:idx val="11"/>
              <c:layout>
                <c:manualLayout>
                  <c:x val="0.11919392998410401"/>
                  <c:y val="0.231443215930344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CB-4FA3-A23E-E2B79C2EFA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de Gas'!$A$26:$A$29</c:f>
              <c:strCache>
                <c:ptCount val="4"/>
                <c:pt idx="0">
                  <c:v>Cocción</c:v>
                </c:pt>
                <c:pt idx="1">
                  <c:v>ACS</c:v>
                </c:pt>
                <c:pt idx="2">
                  <c:v>Piloto</c:v>
                </c:pt>
                <c:pt idx="3">
                  <c:v>Calef.</c:v>
                </c:pt>
              </c:strCache>
            </c:strRef>
          </c:cat>
          <c:val>
            <c:numRef>
              <c:f>'Consumo de Gas'!$E$26:$E$29</c:f>
              <c:numCache>
                <c:formatCode>_ * #,##0_ ;_ * \-#,##0_ ;_ * "-"?_ ;_ @_ </c:formatCode>
                <c:ptCount val="4"/>
                <c:pt idx="0">
                  <c:v>1263.0557333333293</c:v>
                </c:pt>
                <c:pt idx="1">
                  <c:v>3601.0064999999895</c:v>
                </c:pt>
                <c:pt idx="2">
                  <c:v>1776.1721249999944</c:v>
                </c:pt>
                <c:pt idx="3">
                  <c:v>8596.4568083333052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CB-4FA3-A23E-E2B79C2EFA0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de Gas'!$A$10</c:f>
          <c:strCache>
            <c:ptCount val="1"/>
            <c:pt idx="0">
              <c:v>Consumo de Gas =11.11 MWh/año =1409 m3/año</c:v>
            </c:pt>
          </c:strCache>
        </c:strRef>
      </c:tx>
      <c:layout>
        <c:manualLayout>
          <c:xMode val="edge"/>
          <c:yMode val="edge"/>
          <c:x val="0.21825459036117925"/>
          <c:y val="5.976758838521152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73110938418655"/>
          <c:y val="0.13567406676474242"/>
          <c:w val="0.50181800018486167"/>
          <c:h val="0.852891764337277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>
                  <a:alpha val="56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5071-45B0-9D4D-1E71B6C3E7A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5071-45B0-9D4D-1E71B6C3E7A2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071-45B0-9D4D-1E71B6C3E7A2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5071-45B0-9D4D-1E71B6C3E7A2}"/>
              </c:ext>
            </c:extLst>
          </c:dPt>
          <c:dLbls>
            <c:dLbl>
              <c:idx val="0"/>
              <c:layout>
                <c:manualLayout>
                  <c:x val="3.5577643791621885E-2"/>
                  <c:y val="-4.09150725965344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1-45B0-9D4D-1E71B6C3E7A2}"/>
                </c:ext>
              </c:extLst>
            </c:dLbl>
            <c:dLbl>
              <c:idx val="11"/>
              <c:layout>
                <c:manualLayout>
                  <c:x val="0.11919392998410401"/>
                  <c:y val="0.231443215930344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71-45B0-9D4D-1E71B6C3E7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de Gas'!$A$26:$A$29</c:f>
              <c:strCache>
                <c:ptCount val="4"/>
                <c:pt idx="0">
                  <c:v>Cocción</c:v>
                </c:pt>
                <c:pt idx="1">
                  <c:v>ACS</c:v>
                </c:pt>
                <c:pt idx="2">
                  <c:v>Piloto</c:v>
                </c:pt>
                <c:pt idx="3">
                  <c:v>Calef.</c:v>
                </c:pt>
              </c:strCache>
            </c:strRef>
          </c:cat>
          <c:val>
            <c:numRef>
              <c:f>'Consumo de Gas'!$E$26:$E$29</c:f>
              <c:numCache>
                <c:formatCode>_ * #,##0_ ;_ * \-#,##0_ ;_ * "-"?_ ;_ @_ </c:formatCode>
                <c:ptCount val="4"/>
                <c:pt idx="0">
                  <c:v>1263.0557333333293</c:v>
                </c:pt>
                <c:pt idx="1">
                  <c:v>3601.0064999999895</c:v>
                </c:pt>
                <c:pt idx="2">
                  <c:v>1776.1721249999944</c:v>
                </c:pt>
                <c:pt idx="3">
                  <c:v>8596.4568083333052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71-45B0-9D4D-1E71B6C3E7A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Consumo de Energía Anual =19.06 MWh/año</a:t>
            </a:r>
          </a:p>
        </c:rich>
      </c:tx>
      <c:layout>
        <c:manualLayout>
          <c:xMode val="edge"/>
          <c:yMode val="edge"/>
          <c:x val="0.2156320493722069"/>
          <c:y val="2.2200925542201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Transporte!$N$18</c:f>
              <c:strCache>
                <c:ptCount val="1"/>
                <c:pt idx="0">
                  <c:v>MWh/año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7AA-4B5A-AA1B-D324CC61A76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7AA-4B5A-AA1B-D324CC61A765}"/>
              </c:ext>
            </c:extLst>
          </c:dPt>
          <c:dPt>
            <c:idx val="2"/>
            <c:bubble3D val="0"/>
            <c:spPr>
              <a:solidFill>
                <a:srgbClr val="0000FF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7AA-4B5A-AA1B-D324CC61A765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7AA-4B5A-AA1B-D324CC61A76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47AA-4B5A-AA1B-D324CC61A765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47AA-4B5A-AA1B-D324CC61A765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A-4B5A-AA1B-D324CC61A765}"/>
                </c:ext>
              </c:extLst>
            </c:dLbl>
            <c:dLbl>
              <c:idx val="1"/>
              <c:layout>
                <c:manualLayout>
                  <c:x val="0.11898580169844984"/>
                  <c:y val="-0.13742449058599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A-4B5A-AA1B-D324CC61A765}"/>
                </c:ext>
              </c:extLst>
            </c:dLbl>
            <c:dLbl>
              <c:idx val="2"/>
              <c:layout>
                <c:manualLayout>
                  <c:x val="-0.10908036335693586"/>
                  <c:y val="0.135355010442180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AA-4B5A-AA1B-D324CC61A765}"/>
                </c:ext>
              </c:extLst>
            </c:dLbl>
            <c:dLbl>
              <c:idx val="3"/>
              <c:layout>
                <c:manualLayout>
                  <c:x val="2.0173750619623284E-2"/>
                  <c:y val="5.224227179935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AA-4B5A-AA1B-D324CC61A765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AA-4B5A-AA1B-D324CC61A765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AA-4B5A-AA1B-D324CC61A765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AA-4B5A-AA1B-D324CC61A765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47AA-4B5A-AA1B-D324CC61A765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AA-4B5A-AA1B-D324CC61A765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AA-4B5A-AA1B-D324CC61A765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AA-4B5A-AA1B-D324CC61A765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AA-4B5A-AA1B-D324CC61A765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AA-4B5A-AA1B-D324CC61A765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AA-4B5A-AA1B-D324CC61A765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AA-4B5A-AA1B-D324CC61A7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eléctrico'!$AK$6:$AM$6</c:f>
              <c:strCache>
                <c:ptCount val="3"/>
                <c:pt idx="0">
                  <c:v>Electr.</c:v>
                </c:pt>
                <c:pt idx="1">
                  <c:v>Gas</c:v>
                </c:pt>
                <c:pt idx="2">
                  <c:v>Transp</c:v>
                </c:pt>
              </c:strCache>
            </c:strRef>
          </c:cat>
          <c:val>
            <c:numRef>
              <c:f>'Consumo eléctrico'!$AK$7:$AM$7</c:f>
              <c:numCache>
                <c:formatCode>0.00</c:formatCode>
                <c:ptCount val="3"/>
                <c:pt idx="0" formatCode="0.0">
                  <c:v>2.1227998668831169</c:v>
                </c:pt>
                <c:pt idx="1">
                  <c:v>15.236691166666619</c:v>
                </c:pt>
                <c:pt idx="2" formatCode="#,##0.00">
                  <c:v>29.878112254024998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7AA-4B5A-AA1B-D324CC61A7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Consumo de Energía Anual =19.06 MWh/año</a:t>
            </a:r>
          </a:p>
        </c:rich>
      </c:tx>
      <c:layout>
        <c:manualLayout>
          <c:xMode val="edge"/>
          <c:yMode val="edge"/>
          <c:x val="0.2156320493722069"/>
          <c:y val="2.2200925542201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Transporte!$N$18</c:f>
              <c:strCache>
                <c:ptCount val="1"/>
                <c:pt idx="0">
                  <c:v>MWh/año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47AA-4B5A-AA1B-D324CC61A765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47AA-4B5A-AA1B-D324CC61A765}"/>
              </c:ext>
            </c:extLst>
          </c:dPt>
          <c:dPt>
            <c:idx val="2"/>
            <c:bubble3D val="0"/>
            <c:spPr>
              <a:solidFill>
                <a:srgbClr val="C00000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7AA-4B5A-AA1B-D324CC61A765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7AA-4B5A-AA1B-D324CC61A76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47AA-4B5A-AA1B-D324CC61A765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47AA-4B5A-AA1B-D324CC61A765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A-4B5A-AA1B-D324CC61A765}"/>
                </c:ext>
              </c:extLst>
            </c:dLbl>
            <c:dLbl>
              <c:idx val="1"/>
              <c:layout>
                <c:manualLayout>
                  <c:x val="-0.10575459317585302"/>
                  <c:y val="0.18201990376202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A-4B5A-AA1B-D324CC61A765}"/>
                </c:ext>
              </c:extLst>
            </c:dLbl>
            <c:dLbl>
              <c:idx val="2"/>
              <c:layout>
                <c:manualLayout>
                  <c:x val="0.157964041961801"/>
                  <c:y val="4.27624671916009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AA-4B5A-AA1B-D324CC61A765}"/>
                </c:ext>
              </c:extLst>
            </c:dLbl>
            <c:dLbl>
              <c:idx val="3"/>
              <c:layout>
                <c:manualLayout>
                  <c:x val="2.0173750619623284E-2"/>
                  <c:y val="5.224227179935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AA-4B5A-AA1B-D324CC61A765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AA-4B5A-AA1B-D324CC61A765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AA-4B5A-AA1B-D324CC61A765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AA-4B5A-AA1B-D324CC61A765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47AA-4B5A-AA1B-D324CC61A765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AA-4B5A-AA1B-D324CC61A765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AA-4B5A-AA1B-D324CC61A765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AA-4B5A-AA1B-D324CC61A765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AA-4B5A-AA1B-D324CC61A765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AA-4B5A-AA1B-D324CC61A765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AA-4B5A-AA1B-D324CC61A765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AA-4B5A-AA1B-D324CC61A7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Transporte!$Q$19:$Q$22</c:f>
              <c:strCache>
                <c:ptCount val="4"/>
                <c:pt idx="0">
                  <c:v>Gas</c:v>
                </c:pt>
                <c:pt idx="1">
                  <c:v>Electricidad</c:v>
                </c:pt>
                <c:pt idx="2">
                  <c:v>Trans. Terr.</c:v>
                </c:pt>
                <c:pt idx="3">
                  <c:v>Transp. Aereo</c:v>
                </c:pt>
              </c:strCache>
            </c:strRef>
          </c:cat>
          <c:val>
            <c:numRef>
              <c:f>Transporte!$N$19:$N$22</c:f>
              <c:numCache>
                <c:formatCode>#,##0.0</c:formatCode>
                <c:ptCount val="4"/>
                <c:pt idx="0" formatCode="#,##0.00">
                  <c:v>15.236691166666619</c:v>
                </c:pt>
                <c:pt idx="1">
                  <c:v>2.0169999999999999</c:v>
                </c:pt>
                <c:pt idx="2">
                  <c:v>22.178112254024995</c:v>
                </c:pt>
                <c:pt idx="3">
                  <c:v>7.7000000000000011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7AA-4B5A-AA1B-D324CC61A7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Transporte!$L$25</c:f>
          <c:strCache>
            <c:ptCount val="1"/>
            <c:pt idx="0">
              <c:v>Emisiones de CO2 =10.86  Tn(CO2)/año</c:v>
            </c:pt>
          </c:strCache>
        </c:strRef>
      </c:tx>
      <c:layout>
        <c:manualLayout>
          <c:xMode val="edge"/>
          <c:yMode val="edge"/>
          <c:x val="0.2156320493722069"/>
          <c:y val="2.22009255422019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Transporte!$P$18</c:f>
              <c:strCache>
                <c:ptCount val="1"/>
                <c:pt idx="0">
                  <c:v>Tn(CO2)/año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E2DD-409C-8AE2-D5A2674DBF4C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E2DD-409C-8AE2-D5A2674DBF4C}"/>
              </c:ext>
            </c:extLst>
          </c:dPt>
          <c:dPt>
            <c:idx val="2"/>
            <c:bubble3D val="0"/>
            <c:spPr>
              <a:solidFill>
                <a:srgbClr val="C00000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2DD-409C-8AE2-D5A2674DBF4C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2DD-409C-8AE2-D5A2674DBF4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E2DD-409C-8AE2-D5A2674DBF4C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E2DD-409C-8AE2-D5A2674DBF4C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D-409C-8AE2-D5A2674DBF4C}"/>
                </c:ext>
              </c:extLst>
            </c:dLbl>
            <c:dLbl>
              <c:idx val="1"/>
              <c:layout>
                <c:manualLayout>
                  <c:x val="-0.10575459317585302"/>
                  <c:y val="0.18201990376202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D-409C-8AE2-D5A2674DBF4C}"/>
                </c:ext>
              </c:extLst>
            </c:dLbl>
            <c:dLbl>
              <c:idx val="2"/>
              <c:layout>
                <c:manualLayout>
                  <c:x val="0.157964041961801"/>
                  <c:y val="4.27624671916009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DD-409C-8AE2-D5A2674DBF4C}"/>
                </c:ext>
              </c:extLst>
            </c:dLbl>
            <c:dLbl>
              <c:idx val="3"/>
              <c:layout>
                <c:manualLayout>
                  <c:x val="2.0173750619623284E-2"/>
                  <c:y val="5.224227179935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DD-409C-8AE2-D5A2674DBF4C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DD-409C-8AE2-D5A2674DBF4C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DD-409C-8AE2-D5A2674DBF4C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DD-409C-8AE2-D5A2674DBF4C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2DD-409C-8AE2-D5A2674DBF4C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DD-409C-8AE2-D5A2674DBF4C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DD-409C-8AE2-D5A2674DBF4C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DD-409C-8AE2-D5A2674DBF4C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DD-409C-8AE2-D5A2674DBF4C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DD-409C-8AE2-D5A2674DBF4C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DD-409C-8AE2-D5A2674DBF4C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DD-409C-8AE2-D5A2674DBF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Transporte!$Q$19:$Q$22</c:f>
              <c:strCache>
                <c:ptCount val="4"/>
                <c:pt idx="0">
                  <c:v>Gas</c:v>
                </c:pt>
                <c:pt idx="1">
                  <c:v>Electricidad</c:v>
                </c:pt>
                <c:pt idx="2">
                  <c:v>Trans. Terr.</c:v>
                </c:pt>
                <c:pt idx="3">
                  <c:v>Transp. Aereo</c:v>
                </c:pt>
              </c:strCache>
            </c:strRef>
          </c:cat>
          <c:val>
            <c:numRef>
              <c:f>Transporte!$P$19:$P$22</c:f>
              <c:numCache>
                <c:formatCode>#,##0.000</c:formatCode>
                <c:ptCount val="4"/>
                <c:pt idx="0">
                  <c:v>3.0778116156666573</c:v>
                </c:pt>
                <c:pt idx="1">
                  <c:v>0.65955900000000001</c:v>
                </c:pt>
                <c:pt idx="2" formatCode="#,##0.00">
                  <c:v>5.2098208532958239</c:v>
                </c:pt>
                <c:pt idx="3" formatCode="#,##0.00">
                  <c:v>1.9173000000000002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DD-409C-8AE2-D5A2674DBF4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Transporte!$L$25</c:f>
          <c:strCache>
            <c:ptCount val="1"/>
            <c:pt idx="0">
              <c:v>Emisiones de CO2 =10.86  Tn(CO2)/año</c:v>
            </c:pt>
          </c:strCache>
        </c:strRef>
      </c:tx>
      <c:layout>
        <c:manualLayout>
          <c:xMode val="edge"/>
          <c:yMode val="edge"/>
          <c:x val="0.21827606358184265"/>
          <c:y val="2.2201070938658887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71959755030623"/>
          <c:y val="0.1859248147226189"/>
          <c:w val="0.57500940507436571"/>
          <c:h val="0.57405265065660471"/>
        </c:manualLayout>
      </c:layout>
      <c:pieChart>
        <c:varyColors val="1"/>
        <c:ser>
          <c:idx val="0"/>
          <c:order val="0"/>
          <c:tx>
            <c:strRef>
              <c:f>Transporte!$N$18</c:f>
              <c:strCache>
                <c:ptCount val="1"/>
                <c:pt idx="0">
                  <c:v>MWh/año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7AA-4B5A-AA1B-D324CC61A76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7AA-4B5A-AA1B-D324CC61A765}"/>
              </c:ext>
            </c:extLst>
          </c:dPt>
          <c:dPt>
            <c:idx val="2"/>
            <c:bubble3D val="0"/>
            <c:spPr>
              <a:solidFill>
                <a:srgbClr val="0000FF">
                  <a:alpha val="69000"/>
                </a:srgbClr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7AA-4B5A-AA1B-D324CC61A765}"/>
              </c:ext>
            </c:extLst>
          </c:dPt>
          <c:dPt>
            <c:idx val="3"/>
            <c:bubble3D val="0"/>
            <c:spPr>
              <a:solidFill>
                <a:srgbClr val="0000FF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7AA-4B5A-AA1B-D324CC61A76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47AA-4B5A-AA1B-D324CC61A765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47AA-4B5A-AA1B-D324CC61A765}"/>
              </c:ext>
            </c:extLst>
          </c:dPt>
          <c:dLbls>
            <c:dLbl>
              <c:idx val="0"/>
              <c:layout>
                <c:manualLayout>
                  <c:x val="0.13953324584426946"/>
                  <c:y val="-6.0250801983086294E-3"/>
                </c:manualLayout>
              </c:layout>
              <c:spPr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A-4B5A-AA1B-D324CC61A765}"/>
                </c:ext>
              </c:extLst>
            </c:dLbl>
            <c:dLbl>
              <c:idx val="1"/>
              <c:layout>
                <c:manualLayout>
                  <c:x val="0.11898580169844984"/>
                  <c:y val="-0.13742449058599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A-4B5A-AA1B-D324CC61A765}"/>
                </c:ext>
              </c:extLst>
            </c:dLbl>
            <c:dLbl>
              <c:idx val="2"/>
              <c:layout>
                <c:manualLayout>
                  <c:x val="-0.10908036335693586"/>
                  <c:y val="0.135355010442180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AA-4B5A-AA1B-D324CC61A765}"/>
                </c:ext>
              </c:extLst>
            </c:dLbl>
            <c:dLbl>
              <c:idx val="3"/>
              <c:layout>
                <c:manualLayout>
                  <c:x val="2.0173750619623284E-2"/>
                  <c:y val="5.224227179935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AA-4B5A-AA1B-D324CC61A765}"/>
                </c:ext>
              </c:extLst>
            </c:dLbl>
            <c:dLbl>
              <c:idx val="4"/>
              <c:layout>
                <c:manualLayout>
                  <c:x val="7.7838801399824922E-2"/>
                  <c:y val="-0.11614792942548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AA-4B5A-AA1B-D324CC61A765}"/>
                </c:ext>
              </c:extLst>
            </c:dLbl>
            <c:dLbl>
              <c:idx val="5"/>
              <c:layout>
                <c:manualLayout>
                  <c:x val="0.24151290463692038"/>
                  <c:y val="-3.6810294546515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AA-4B5A-AA1B-D324CC61A765}"/>
                </c:ext>
              </c:extLst>
            </c:dLbl>
            <c:dLbl>
              <c:idx val="6"/>
              <c:layout>
                <c:manualLayout>
                  <c:x val="0.31021566054243221"/>
                  <c:y val="8.8508675998833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AA-4B5A-AA1B-D324CC61A765}"/>
                </c:ext>
              </c:extLst>
            </c:dLbl>
            <c:dLbl>
              <c:idx val="7"/>
              <c:layout>
                <c:manualLayout>
                  <c:x val="0.12149234470691164"/>
                  <c:y val="6.5416302128900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36373578302713"/>
                      <c:h val="0.169164114902303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47AA-4B5A-AA1B-D324CC61A765}"/>
                </c:ext>
              </c:extLst>
            </c:dLbl>
            <c:dLbl>
              <c:idx val="8"/>
              <c:layout>
                <c:manualLayout>
                  <c:x val="2.3803368328958879E-2"/>
                  <c:y val="8.07742782152230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AA-4B5A-AA1B-D324CC61A765}"/>
                </c:ext>
              </c:extLst>
            </c:dLbl>
            <c:dLbl>
              <c:idx val="9"/>
              <c:layout>
                <c:manualLayout>
                  <c:x val="-9.4513123359580051E-2"/>
                  <c:y val="0.11137029746281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AA-4B5A-AA1B-D324CC61A765}"/>
                </c:ext>
              </c:extLst>
            </c:dLbl>
            <c:dLbl>
              <c:idx val="10"/>
              <c:layout>
                <c:manualLayout>
                  <c:x val="-0.17263320209973748"/>
                  <c:y val="3.8373067949839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AA-4B5A-AA1B-D324CC61A765}"/>
                </c:ext>
              </c:extLst>
            </c:dLbl>
            <c:dLbl>
              <c:idx val="11"/>
              <c:layout>
                <c:manualLayout>
                  <c:x val="-0.35385301837270339"/>
                  <c:y val="-0.3794801691455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AA-4B5A-AA1B-D324CC61A765}"/>
                </c:ext>
              </c:extLst>
            </c:dLbl>
            <c:dLbl>
              <c:idx val="12"/>
              <c:layout>
                <c:manualLayout>
                  <c:x val="-0.40576290463692039"/>
                  <c:y val="-0.1449941673957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AA-4B5A-AA1B-D324CC61A765}"/>
                </c:ext>
              </c:extLst>
            </c:dLbl>
            <c:dLbl>
              <c:idx val="13"/>
              <c:layout>
                <c:manualLayout>
                  <c:x val="-1.0688976377952755E-2"/>
                  <c:y val="-0.11545713035870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AA-4B5A-AA1B-D324CC61A765}"/>
                </c:ext>
              </c:extLst>
            </c:dLbl>
            <c:dLbl>
              <c:idx val="14"/>
              <c:layout>
                <c:manualLayout>
                  <c:x val="2.6279746281714811E-2"/>
                  <c:y val="-0.23438611840186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AA-4B5A-AA1B-D324CC61A7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eléctrico'!$AK$6:$AM$6</c:f>
              <c:strCache>
                <c:ptCount val="3"/>
                <c:pt idx="0">
                  <c:v>Electr.</c:v>
                </c:pt>
                <c:pt idx="1">
                  <c:v>Gas</c:v>
                </c:pt>
                <c:pt idx="2">
                  <c:v>Transp</c:v>
                </c:pt>
              </c:strCache>
            </c:strRef>
          </c:cat>
          <c:val>
            <c:numRef>
              <c:f>'Consumo eléctrico'!$AK$9:$AM$9</c:f>
              <c:numCache>
                <c:formatCode>0.0</c:formatCode>
                <c:ptCount val="3"/>
                <c:pt idx="0">
                  <c:v>0.63047156046428565</c:v>
                </c:pt>
                <c:pt idx="1">
                  <c:v>3.0778116156666573</c:v>
                </c:pt>
                <c:pt idx="2">
                  <c:v>7.9774559718246749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7AA-4B5A-AA1B-D324CC61A7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9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'Consumo de Gas'!$A$10</c:f>
          <c:strCache>
            <c:ptCount val="1"/>
            <c:pt idx="0">
              <c:v>Consumo de Gas =11.11 MWh/año =1409 m3/año</c:v>
            </c:pt>
          </c:strCache>
        </c:strRef>
      </c:tx>
      <c:layout>
        <c:manualLayout>
          <c:xMode val="edge"/>
          <c:yMode val="edge"/>
          <c:x val="0.21825459036117925"/>
          <c:y val="5.976758838521152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73110938418655"/>
          <c:y val="0.13567406676474242"/>
          <c:w val="0.50181800018486167"/>
          <c:h val="0.852891764337277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>
                  <a:alpha val="56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83CB-4FA3-A23E-E2B79C2EFA0A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3CB-4FA3-A23E-E2B79C2EFA0A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3CB-4FA3-A23E-E2B79C2EFA0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83CB-4FA3-A23E-E2B79C2EFA0A}"/>
              </c:ext>
            </c:extLst>
          </c:dPt>
          <c:dLbls>
            <c:dLbl>
              <c:idx val="0"/>
              <c:layout>
                <c:manualLayout>
                  <c:x val="3.5577643791621885E-2"/>
                  <c:y val="-4.09150725965344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CB-4FA3-A23E-E2B79C2EFA0A}"/>
                </c:ext>
              </c:extLst>
            </c:dLbl>
            <c:dLbl>
              <c:idx val="11"/>
              <c:layout>
                <c:manualLayout>
                  <c:x val="0.11919392998410401"/>
                  <c:y val="0.231443215930344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CB-4FA3-A23E-E2B79C2EFA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'Consumo de Gas'!$A$26:$A$29</c:f>
              <c:strCache>
                <c:ptCount val="4"/>
                <c:pt idx="0">
                  <c:v>Cocción</c:v>
                </c:pt>
                <c:pt idx="1">
                  <c:v>ACS</c:v>
                </c:pt>
                <c:pt idx="2">
                  <c:v>Piloto</c:v>
                </c:pt>
                <c:pt idx="3">
                  <c:v>Calef.</c:v>
                </c:pt>
              </c:strCache>
            </c:strRef>
          </c:cat>
          <c:val>
            <c:numRef>
              <c:f>'Consumo de Gas'!$E$26:$E$29</c:f>
              <c:numCache>
                <c:formatCode>_ * #,##0_ ;_ * \-#,##0_ ;_ * "-"?_ ;_ @_ </c:formatCode>
                <c:ptCount val="4"/>
                <c:pt idx="0">
                  <c:v>1263.0557333333293</c:v>
                </c:pt>
                <c:pt idx="1">
                  <c:v>3601.0064999999895</c:v>
                </c:pt>
                <c:pt idx="2">
                  <c:v>1776.1721249999944</c:v>
                </c:pt>
                <c:pt idx="3">
                  <c:v>8596.4568083333052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CB-4FA3-A23E-E2B79C2EFA0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pin" dx="26" fmlaLink="$I$13" inc="5" max="30000" page="10" val="135"/>
</file>

<file path=xl/ctrlProps/ctrlProp2.xml><?xml version="1.0" encoding="utf-8"?>
<formControlPr xmlns="http://schemas.microsoft.com/office/spreadsheetml/2009/9/main" objectType="Spin" dx="20" fmlaLink="$F$13" max="5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image" Target="../media/image5.jpg"/><Relationship Id="rId7" Type="http://schemas.openxmlformats.org/officeDocument/2006/relationships/chart" Target="../charts/chart15.xml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chart" Target="../charts/chart14.xml"/><Relationship Id="rId11" Type="http://schemas.openxmlformats.org/officeDocument/2006/relationships/chart" Target="../charts/chart16.xml"/><Relationship Id="rId5" Type="http://schemas.openxmlformats.org/officeDocument/2006/relationships/chart" Target="../charts/chart13.xml"/><Relationship Id="rId10" Type="http://schemas.openxmlformats.org/officeDocument/2006/relationships/image" Target="../media/image8.emf"/><Relationship Id="rId4" Type="http://schemas.openxmlformats.org/officeDocument/2006/relationships/chart" Target="../charts/chart12.xml"/><Relationship Id="rId9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321348</xdr:colOff>
      <xdr:row>7</xdr:row>
      <xdr:rowOff>209796</xdr:rowOff>
    </xdr:from>
    <xdr:to>
      <xdr:col>20</xdr:col>
      <xdr:colOff>786257</xdr:colOff>
      <xdr:row>33</xdr:row>
      <xdr:rowOff>51804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393072</xdr:colOff>
      <xdr:row>38</xdr:row>
      <xdr:rowOff>200717</xdr:rowOff>
    </xdr:from>
    <xdr:to>
      <xdr:col>27</xdr:col>
      <xdr:colOff>549011</xdr:colOff>
      <xdr:row>80</xdr:row>
      <xdr:rowOff>103779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664028</xdr:colOff>
      <xdr:row>21</xdr:row>
      <xdr:rowOff>148768</xdr:rowOff>
    </xdr:from>
    <xdr:to>
      <xdr:col>30</xdr:col>
      <xdr:colOff>1595642</xdr:colOff>
      <xdr:row>40</xdr:row>
      <xdr:rowOff>160746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419878</xdr:colOff>
      <xdr:row>8</xdr:row>
      <xdr:rowOff>31102</xdr:rowOff>
    </xdr:from>
    <xdr:to>
      <xdr:col>28</xdr:col>
      <xdr:colOff>305684</xdr:colOff>
      <xdr:row>19</xdr:row>
      <xdr:rowOff>133662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435428</xdr:colOff>
      <xdr:row>10</xdr:row>
      <xdr:rowOff>171061</xdr:rowOff>
    </xdr:from>
    <xdr:to>
      <xdr:col>37</xdr:col>
      <xdr:colOff>394606</xdr:colOff>
      <xdr:row>19</xdr:row>
      <xdr:rowOff>60650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132184</xdr:colOff>
      <xdr:row>19</xdr:row>
      <xdr:rowOff>287693</xdr:rowOff>
    </xdr:from>
    <xdr:to>
      <xdr:col>37</xdr:col>
      <xdr:colOff>91362</xdr:colOff>
      <xdr:row>32</xdr:row>
      <xdr:rowOff>161731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307910</xdr:colOff>
      <xdr:row>19</xdr:row>
      <xdr:rowOff>180394</xdr:rowOff>
    </xdr:from>
    <xdr:to>
      <xdr:col>43</xdr:col>
      <xdr:colOff>2720</xdr:colOff>
      <xdr:row>32</xdr:row>
      <xdr:rowOff>54431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419877</xdr:colOff>
      <xdr:row>10</xdr:row>
      <xdr:rowOff>108859</xdr:rowOff>
    </xdr:from>
    <xdr:to>
      <xdr:col>43</xdr:col>
      <xdr:colOff>114687</xdr:colOff>
      <xdr:row>17</xdr:row>
      <xdr:rowOff>317244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145439</xdr:colOff>
      <xdr:row>89</xdr:row>
      <xdr:rowOff>185808</xdr:rowOff>
    </xdr:from>
    <xdr:to>
      <xdr:col>11</xdr:col>
      <xdr:colOff>101080</xdr:colOff>
      <xdr:row>94</xdr:row>
      <xdr:rowOff>54429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36153" y="22283808"/>
          <a:ext cx="1129743" cy="801682"/>
        </a:xfrm>
        <a:prstGeom prst="rightArrow">
          <a:avLst/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11</xdr:col>
      <xdr:colOff>626450</xdr:colOff>
      <xdr:row>81</xdr:row>
      <xdr:rowOff>111142</xdr:rowOff>
    </xdr:from>
    <xdr:to>
      <xdr:col>23</xdr:col>
      <xdr:colOff>364156</xdr:colOff>
      <xdr:row>133</xdr:row>
      <xdr:rowOff>32017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165" y="21383642"/>
          <a:ext cx="10396634" cy="9527518"/>
        </a:xfrm>
        <a:prstGeom prst="rect">
          <a:avLst/>
        </a:prstGeom>
      </xdr:spPr>
    </xdr:pic>
    <xdr:clientData/>
  </xdr:twoCellAnchor>
  <xdr:twoCellAnchor>
    <xdr:from>
      <xdr:col>8</xdr:col>
      <xdr:colOff>128872</xdr:colOff>
      <xdr:row>54</xdr:row>
      <xdr:rowOff>192792</xdr:rowOff>
    </xdr:from>
    <xdr:to>
      <xdr:col>8</xdr:col>
      <xdr:colOff>1117265</xdr:colOff>
      <xdr:row>86</xdr:row>
      <xdr:rowOff>19892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5766435">
          <a:off x="8117407" y="17729656"/>
          <a:ext cx="7166953" cy="988393"/>
        </a:xfrm>
        <a:prstGeom prst="rightArrow">
          <a:avLst>
            <a:gd name="adj1" fmla="val 50000"/>
            <a:gd name="adj2" fmla="val 57715"/>
          </a:avLst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5</xdr:col>
      <xdr:colOff>453571</xdr:colOff>
      <xdr:row>98</xdr:row>
      <xdr:rowOff>95251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22479000"/>
          <a:ext cx="7266214" cy="1728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1">
              <a:solidFill>
                <a:srgbClr val="0000FF"/>
              </a:solidFill>
            </a:rPr>
            <a:t>Sugerencias al llenar el archivo Excel</a:t>
          </a:r>
          <a:r>
            <a:rPr lang="es-AR" sz="1400" b="1"/>
            <a:t>. 1) </a:t>
          </a:r>
          <a:r>
            <a:rPr lang="es-AR" sz="1400" b="1">
              <a:solidFill>
                <a:srgbClr val="0070C0"/>
              </a:solidFill>
            </a:rPr>
            <a:t>En la hoja provista, por favor no modificar el formato de las hojas de electricidad y gas. De modo de poder comparar más fácilmente sus resultados con otros resultados anteriores y así poder sacar estadísticas de consumo</a:t>
          </a:r>
          <a:r>
            <a:rPr lang="es-AR" sz="1400" b="1"/>
            <a:t>. 2) </a:t>
          </a:r>
          <a:r>
            <a:rPr lang="es-AR" sz="1400" b="1">
              <a:solidFill>
                <a:srgbClr val="FF00FF"/>
              </a:solidFill>
            </a:rPr>
            <a:t>Para cada uno de los artefactos de mayor consumo (consumos claves), indicar su edad y marca. Además, agregar una foto de cada uno de ellos y si tienen etiqueta de eficiencia energética, incluir una foto de las mimas en la misma hoja del archivo Excel donde se indica su consumo</a:t>
          </a:r>
          <a:r>
            <a:rPr lang="es-AR" sz="1400" b="1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Incluir una</a:t>
          </a:r>
          <a:r>
            <a:rPr lang="es-A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factura de electricdad y luz donde se vea la direccion y los consumos bimestrales o mensules</a:t>
          </a: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AR" sz="1400">
            <a:effectLst/>
          </a:endParaRPr>
        </a:p>
        <a:p>
          <a:r>
            <a:rPr lang="es-AR" sz="1400" b="1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1067955</xdr:colOff>
      <xdr:row>21</xdr:row>
      <xdr:rowOff>125527</xdr:rowOff>
    </xdr:from>
    <xdr:to>
      <xdr:col>11</xdr:col>
      <xdr:colOff>1033461</xdr:colOff>
      <xdr:row>38</xdr:row>
      <xdr:rowOff>223226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196214</xdr:colOff>
      <xdr:row>0</xdr:row>
      <xdr:rowOff>199004</xdr:rowOff>
    </xdr:from>
    <xdr:to>
      <xdr:col>16</xdr:col>
      <xdr:colOff>100964</xdr:colOff>
      <xdr:row>18</xdr:row>
      <xdr:rowOff>199004</xdr:rowOff>
    </xdr:to>
    <xdr:grpSp>
      <xdr:nvGrpSpPr>
        <xdr:cNvPr id="5" name="16 Grup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2258947" y="199004"/>
          <a:ext cx="5735410" cy="3925661"/>
          <a:chOff x="7139940" y="0"/>
          <a:chExt cx="4659630" cy="2819400"/>
        </a:xfrm>
      </xdr:grpSpPr>
      <xdr:graphicFrame macro="">
        <xdr:nvGraphicFramePr>
          <xdr:cNvPr id="6" name="2 Gráfico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7139940" y="0"/>
          <a:ext cx="4659630" cy="2819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003685" y="1135551"/>
            <a:ext cx="1386840" cy="3581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400" b="1">
                <a:solidFill>
                  <a:srgbClr val="00B050"/>
                </a:solidFill>
              </a:rPr>
              <a:t>Consumo Base</a:t>
            </a:r>
          </a:p>
        </xdr:txBody>
      </xdr:sp>
      <xdr:sp macro="" textlink="">
        <xdr:nvSpPr>
          <xdr:cNvPr id="8" name="6 CuadroTexto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001000" y="746760"/>
            <a:ext cx="1386840" cy="3581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400" b="1">
                <a:solidFill>
                  <a:schemeClr val="accent6"/>
                </a:solidFill>
              </a:rPr>
              <a:t>Calefacción</a:t>
            </a:r>
          </a:p>
        </xdr:txBody>
      </xdr:sp>
      <xdr:cxnSp macro="">
        <xdr:nvCxnSpPr>
          <xdr:cNvPr id="9" name="8 Conector recto de flecha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8929375" y="956218"/>
            <a:ext cx="377537" cy="155529"/>
          </a:xfrm>
          <a:prstGeom prst="straightConnector1">
            <a:avLst/>
          </a:prstGeom>
          <a:ln w="25400">
            <a:solidFill>
              <a:schemeClr val="accent6">
                <a:lumMod val="75000"/>
              </a:schemeClr>
            </a:solidFill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9 Conector recto de flecha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9166860" y="1455420"/>
            <a:ext cx="129540" cy="312420"/>
          </a:xfrm>
          <a:prstGeom prst="straightConnector1">
            <a:avLst/>
          </a:prstGeom>
          <a:ln w="25400">
            <a:solidFill>
              <a:schemeClr val="accent3">
                <a:lumMod val="50000"/>
              </a:schemeClr>
            </a:solidFill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5</xdr:col>
      <xdr:colOff>883920</xdr:colOff>
      <xdr:row>64</xdr:row>
      <xdr:rowOff>0</xdr:rowOff>
    </xdr:from>
    <xdr:ext cx="184731" cy="264560"/>
    <xdr:sp macro="" textlink="">
      <xdr:nvSpPr>
        <xdr:cNvPr id="20" name="24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865370" y="1057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</xdr:col>
      <xdr:colOff>392906</xdr:colOff>
      <xdr:row>21</xdr:row>
      <xdr:rowOff>105455</xdr:rowOff>
    </xdr:from>
    <xdr:to>
      <xdr:col>18</xdr:col>
      <xdr:colOff>594359</xdr:colOff>
      <xdr:row>45</xdr:row>
      <xdr:rowOff>139474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70757</xdr:colOff>
          <xdr:row>9</xdr:row>
          <xdr:rowOff>21771</xdr:rowOff>
        </xdr:from>
        <xdr:to>
          <xdr:col>10</xdr:col>
          <xdr:colOff>0</xdr:colOff>
          <xdr:row>12</xdr:row>
          <xdr:rowOff>136071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59871</xdr:colOff>
          <xdr:row>11</xdr:row>
          <xdr:rowOff>5443</xdr:rowOff>
        </xdr:from>
        <xdr:to>
          <xdr:col>6</xdr:col>
          <xdr:colOff>669471</xdr:colOff>
          <xdr:row>12</xdr:row>
          <xdr:rowOff>223157</xdr:rowOff>
        </xdr:to>
        <xdr:sp macro="" textlink="">
          <xdr:nvSpPr>
            <xdr:cNvPr id="3076" name="Spinne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1338944</xdr:colOff>
      <xdr:row>46</xdr:row>
      <xdr:rowOff>44902</xdr:rowOff>
    </xdr:from>
    <xdr:to>
      <xdr:col>10</xdr:col>
      <xdr:colOff>523469</xdr:colOff>
      <xdr:row>66</xdr:row>
      <xdr:rowOff>149677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4712" y="9726385"/>
          <a:ext cx="4831490" cy="3873953"/>
        </a:xfrm>
        <a:prstGeom prst="rect">
          <a:avLst/>
        </a:prstGeom>
      </xdr:spPr>
    </xdr:pic>
    <xdr:clientData/>
  </xdr:twoCellAnchor>
  <xdr:twoCellAnchor>
    <xdr:from>
      <xdr:col>0</xdr:col>
      <xdr:colOff>34017</xdr:colOff>
      <xdr:row>46</xdr:row>
      <xdr:rowOff>81641</xdr:rowOff>
    </xdr:from>
    <xdr:to>
      <xdr:col>6</xdr:col>
      <xdr:colOff>959302</xdr:colOff>
      <xdr:row>56</xdr:row>
      <xdr:rowOff>13609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4017" y="9763124"/>
          <a:ext cx="7341053" cy="1768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1">
              <a:solidFill>
                <a:srgbClr val="0000FF"/>
              </a:solidFill>
            </a:rPr>
            <a:t>Sugerencias al llenar el archivo Excel</a:t>
          </a:r>
          <a:r>
            <a:rPr lang="es-AR" sz="1400" b="1"/>
            <a:t>. 1) </a:t>
          </a:r>
          <a:r>
            <a:rPr lang="es-AR" sz="1400" b="1">
              <a:solidFill>
                <a:srgbClr val="0070C0"/>
              </a:solidFill>
            </a:rPr>
            <a:t>En la hoja provista, por favor no modificar el formato de las hojas de electricidad y gas. De modo de poder comparar más fácilmente sus resultados con otros resultados anteriores y así poder sacar estadísticas de consumo</a:t>
          </a:r>
          <a:r>
            <a:rPr lang="es-AR" sz="1400" b="1"/>
            <a:t>. 2) </a:t>
          </a:r>
          <a:r>
            <a:rPr lang="es-AR" sz="1400" b="1">
              <a:solidFill>
                <a:srgbClr val="FF00FF"/>
              </a:solidFill>
            </a:rPr>
            <a:t>Para cada uno de los artefactos de mayor consumo (consumos claves), indicar su edad y marca. Además, agregar una foto de cada uno de ellos y si tienen etiqueta de eficiencia energética, incluir una foto de las mimas en la misma hoja del archivo Excel donde se indica su consumo</a:t>
          </a:r>
          <a:r>
            <a:rPr lang="es-AR" sz="1400" b="1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Incluir una</a:t>
          </a:r>
          <a:r>
            <a:rPr lang="es-A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factura de electricdad y luz donde se vea la direccion y los consumos bimestrales o mensules</a:t>
          </a: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AR" sz="1400">
            <a:effectLst/>
          </a:endParaRPr>
        </a:p>
        <a:p>
          <a:r>
            <a:rPr lang="es-AR" sz="1400" b="1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144237</xdr:colOff>
      <xdr:row>35</xdr:row>
      <xdr:rowOff>108859</xdr:rowOff>
    </xdr:from>
    <xdr:ext cx="7381875" cy="7705725"/>
    <xdr:pic>
      <xdr:nvPicPr>
        <xdr:cNvPr id="4" name="image5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76437" y="6852559"/>
          <a:ext cx="7381875" cy="7705725"/>
        </a:xfrm>
        <a:prstGeom prst="rect">
          <a:avLst/>
        </a:prstGeom>
        <a:noFill/>
      </xdr:spPr>
    </xdr:pic>
    <xdr:clientData fLocksWithSheet="0"/>
  </xdr:oneCellAnchor>
  <xdr:oneCellAnchor>
    <xdr:from>
      <xdr:col>48</xdr:col>
      <xdr:colOff>57150</xdr:colOff>
      <xdr:row>46</xdr:row>
      <xdr:rowOff>38100</xdr:rowOff>
    </xdr:from>
    <xdr:ext cx="5124450" cy="8382000"/>
    <xdr:pic>
      <xdr:nvPicPr>
        <xdr:cNvPr id="5" name="image2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91336" y="7859486"/>
          <a:ext cx="5124450" cy="8382000"/>
        </a:xfrm>
        <a:prstGeom prst="rect">
          <a:avLst/>
        </a:prstGeom>
        <a:noFill/>
      </xdr:spPr>
    </xdr:pic>
    <xdr:clientData fLocksWithSheet="0"/>
  </xdr:oneCellAnchor>
  <xdr:oneCellAnchor>
    <xdr:from>
      <xdr:col>33</xdr:col>
      <xdr:colOff>209550</xdr:colOff>
      <xdr:row>92</xdr:row>
      <xdr:rowOff>9525</xdr:rowOff>
    </xdr:from>
    <xdr:ext cx="5514975" cy="2200275"/>
    <xdr:pic>
      <xdr:nvPicPr>
        <xdr:cNvPr id="6" name="image4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40950" y="16093168"/>
          <a:ext cx="5514975" cy="2200275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16328</xdr:colOff>
      <xdr:row>26</xdr:row>
      <xdr:rowOff>138791</xdr:rowOff>
    </xdr:from>
    <xdr:to>
      <xdr:col>14</xdr:col>
      <xdr:colOff>438149</xdr:colOff>
      <xdr:row>38</xdr:row>
      <xdr:rowOff>89805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283028</xdr:colOff>
      <xdr:row>24</xdr:row>
      <xdr:rowOff>8163</xdr:rowOff>
    </xdr:from>
    <xdr:to>
      <xdr:col>21</xdr:col>
      <xdr:colOff>715735</xdr:colOff>
      <xdr:row>35</xdr:row>
      <xdr:rowOff>138792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176892</xdr:colOff>
      <xdr:row>69</xdr:row>
      <xdr:rowOff>103412</xdr:rowOff>
    </xdr:from>
    <xdr:to>
      <xdr:col>38</xdr:col>
      <xdr:colOff>794657</xdr:colOff>
      <xdr:row>86</xdr:row>
      <xdr:rowOff>119742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19050</xdr:colOff>
      <xdr:row>29</xdr:row>
      <xdr:rowOff>87086</xdr:rowOff>
    </xdr:from>
    <xdr:to>
      <xdr:col>38</xdr:col>
      <xdr:colOff>214992</xdr:colOff>
      <xdr:row>44</xdr:row>
      <xdr:rowOff>32657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19</xdr:col>
      <xdr:colOff>876300</xdr:colOff>
      <xdr:row>102</xdr:row>
      <xdr:rowOff>48985</xdr:rowOff>
    </xdr:from>
    <xdr:to>
      <xdr:col>28</xdr:col>
      <xdr:colOff>190117</xdr:colOff>
      <xdr:row>132</xdr:row>
      <xdr:rowOff>103362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3943" y="19120756"/>
          <a:ext cx="8621102" cy="5442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625929</xdr:colOff>
      <xdr:row>86</xdr:row>
      <xdr:rowOff>97970</xdr:rowOff>
    </xdr:from>
    <xdr:to>
      <xdr:col>27</xdr:col>
      <xdr:colOff>707572</xdr:colOff>
      <xdr:row>102</xdr:row>
      <xdr:rowOff>32656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9" y="16529956"/>
          <a:ext cx="9356271" cy="280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664028</xdr:colOff>
      <xdr:row>70</xdr:row>
      <xdr:rowOff>43542</xdr:rowOff>
    </xdr:from>
    <xdr:to>
      <xdr:col>27</xdr:col>
      <xdr:colOff>511629</xdr:colOff>
      <xdr:row>85</xdr:row>
      <xdr:rowOff>103413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028" y="13601699"/>
          <a:ext cx="9122229" cy="2754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421822</xdr:colOff>
      <xdr:row>31</xdr:row>
      <xdr:rowOff>321126</xdr:rowOff>
    </xdr:from>
    <xdr:to>
      <xdr:col>29</xdr:col>
      <xdr:colOff>759278</xdr:colOff>
      <xdr:row>45</xdr:row>
      <xdr:rowOff>146955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525235</xdr:colOff>
      <xdr:row>6</xdr:row>
      <xdr:rowOff>78921</xdr:rowOff>
    </xdr:from>
    <xdr:to>
      <xdr:col>15</xdr:col>
      <xdr:colOff>658584</xdr:colOff>
      <xdr:row>26</xdr:row>
      <xdr:rowOff>64633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655183</xdr:colOff>
      <xdr:row>46</xdr:row>
      <xdr:rowOff>95929</xdr:rowOff>
    </xdr:from>
    <xdr:to>
      <xdr:col>10</xdr:col>
      <xdr:colOff>655183</xdr:colOff>
      <xdr:row>60</xdr:row>
      <xdr:rowOff>166686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209551</xdr:colOff>
      <xdr:row>25</xdr:row>
      <xdr:rowOff>160564</xdr:rowOff>
    </xdr:from>
    <xdr:to>
      <xdr:col>11</xdr:col>
      <xdr:colOff>342899</xdr:colOff>
      <xdr:row>45</xdr:row>
      <xdr:rowOff>146276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318405</xdr:colOff>
      <xdr:row>2</xdr:row>
      <xdr:rowOff>27214</xdr:rowOff>
    </xdr:from>
    <xdr:to>
      <xdr:col>12</xdr:col>
      <xdr:colOff>187777</xdr:colOff>
      <xdr:row>21</xdr:row>
      <xdr:rowOff>157843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29935</xdr:colOff>
      <xdr:row>21</xdr:row>
      <xdr:rowOff>32656</xdr:rowOff>
    </xdr:from>
    <xdr:to>
      <xdr:col>11</xdr:col>
      <xdr:colOff>634093</xdr:colOff>
      <xdr:row>35</xdr:row>
      <xdr:rowOff>185056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54428</xdr:colOff>
      <xdr:row>2</xdr:row>
      <xdr:rowOff>97971</xdr:rowOff>
    </xdr:from>
    <xdr:to>
      <xdr:col>9</xdr:col>
      <xdr:colOff>615043</xdr:colOff>
      <xdr:row>10</xdr:row>
      <xdr:rowOff>76200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865D9920-4785-CBA8-4ECD-F370553CB64C}"/>
            </a:ext>
          </a:extLst>
        </xdr:cNvPr>
        <xdr:cNvCxnSpPr/>
      </xdr:nvCxnSpPr>
      <xdr:spPr>
        <a:xfrm>
          <a:off x="5176157" y="484414"/>
          <a:ext cx="2911929" cy="14804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0.30005</cdr:x>
      <cdr:y>0.1709</cdr:y>
    </cdr:from>
    <cdr:to>
      <cdr:x>0.92996</cdr:x>
      <cdr:y>0.2632</cdr:y>
    </cdr:to>
    <cdr:sp macro="" textlink="Heladera!$D$20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12EB92-D5A8-43C8-BAA0-C3969BCE8CF3}"/>
            </a:ext>
          </a:extLst>
        </cdr:cNvPr>
        <cdr:cNvSpPr txBox="1"/>
      </cdr:nvSpPr>
      <cdr:spPr>
        <a:xfrm xmlns:a="http://schemas.openxmlformats.org/drawingml/2006/main">
          <a:off x="1340789" y="626948"/>
          <a:ext cx="2814833" cy="33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2D48589-79F7-4247-9B46-313F888AD86D}" type="TxLink">
            <a:rPr lang="en-US" sz="1200" b="1" i="0" u="none" strike="noStrike">
              <a:solidFill>
                <a:srgbClr val="FF0000"/>
              </a:solidFill>
              <a:latin typeface="Calibri"/>
              <a:cs typeface="Calibri"/>
            </a:rPr>
            <a:t>Consumo medio anual=292.3 kWh/año</a:t>
          </a:fld>
          <a:endParaRPr lang="es-AR" sz="12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0.2275</cdr:x>
      <cdr:y>0.60291</cdr:y>
    </cdr:from>
    <cdr:to>
      <cdr:x>0.84348</cdr:x>
      <cdr:y>0.72039</cdr:y>
    </cdr:to>
    <cdr:sp macro="" textlink="Heladera!$D$18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383FF44-9179-4FDC-9B3F-94D20BB2C771}"/>
            </a:ext>
          </a:extLst>
        </cdr:cNvPr>
        <cdr:cNvSpPr txBox="1"/>
      </cdr:nvSpPr>
      <cdr:spPr>
        <a:xfrm xmlns:a="http://schemas.openxmlformats.org/drawingml/2006/main">
          <a:off x="1016603" y="2221621"/>
          <a:ext cx="2752578" cy="43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16C5729-355D-47DE-B1A4-B577F43E74C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t>Según la etiqueta=250kWh/año</a:t>
          </a:fld>
          <a:endParaRPr lang="es-AR" sz="1100">
            <a:solidFill>
              <a:srgbClr val="00B050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0.20731</cdr:x>
      <cdr:y>0.19374</cdr:y>
    </cdr:from>
    <cdr:to>
      <cdr:x>0.72917</cdr:x>
      <cdr:y>0.28498</cdr:y>
    </cdr:to>
    <cdr:sp macro="" textlink="Heladera!$D$19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512EB92-D5A8-43C8-BAA0-C3969BCE8CF3}"/>
            </a:ext>
          </a:extLst>
        </cdr:cNvPr>
        <cdr:cNvSpPr txBox="1"/>
      </cdr:nvSpPr>
      <cdr:spPr>
        <a:xfrm xmlns:a="http://schemas.openxmlformats.org/drawingml/2006/main">
          <a:off x="947833" y="538845"/>
          <a:ext cx="2385917" cy="253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9299374-39FB-45BA-AC4B-D583351A04B1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Consumo medio diario=800.8 Wh/día</a:t>
          </a:fld>
          <a:endParaRPr lang="es-AR" sz="1100">
            <a:solidFill>
              <a:srgbClr val="0000FF"/>
            </a:solidFill>
          </a:endParaRPr>
        </a:p>
      </cdr:txBody>
    </cdr:sp>
  </cdr:relSizeAnchor>
  <cdr:relSizeAnchor xmlns:cdr="http://schemas.openxmlformats.org/drawingml/2006/chartDrawing">
    <cdr:from>
      <cdr:x>0.25774</cdr:x>
      <cdr:y>0.64579</cdr:y>
    </cdr:from>
    <cdr:to>
      <cdr:x>0.94474</cdr:x>
      <cdr:y>0.79313</cdr:y>
    </cdr:to>
    <cdr:sp macro="" textlink="Heladera!$D$20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383FF44-9179-4FDC-9B3F-94D20BB2C771}"/>
            </a:ext>
          </a:extLst>
        </cdr:cNvPr>
        <cdr:cNvSpPr txBox="1"/>
      </cdr:nvSpPr>
      <cdr:spPr>
        <a:xfrm xmlns:a="http://schemas.openxmlformats.org/drawingml/2006/main">
          <a:off x="1178379" y="1796144"/>
          <a:ext cx="3140977" cy="40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34BD954-E847-477F-9E85-347C35C8D5A8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/>
            <a:t>Consumo medio anual=292.3 kWh/año</a:t>
          </a:fld>
          <a:endParaRPr lang="es-AR" sz="1400">
            <a:solidFill>
              <a:srgbClr val="C0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Energia_RA/Balance_Energetico_ME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str\distr2k8\consumos_enriqu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Eficiencia/Consumos/Auditorias/Auditorias_resumenes/electricidad_Gas_8_Nov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Eficiencia/Consumos/Auditorias/Auditorias_resumenes/Resumen_Unsam+V_Rosa_30May_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Eficiencia/Heladeras/Heladeras_eff_costo_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nerg&#237;a\audito_VL\Jun_2015-jan2016_mi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ergia\gas_nat_propiedades_fisicas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nerg&#237;a\energy_world\world_sg\BP_statistical_review_of_world_energy_full_report_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Vid_Solar/Informe/SG/Calculos/consumo_electrico_gas_24_dic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nergia\Consultorias\No_Vigentes\CAC_2019\2019_Viv_Soc_sot\Informe\Figuras\Cons_calef_ACS_5_oc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nerg&#237;a\EG\distr2014\pais\residencial_2014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nerg&#237;a\gas_nat_propiedades_fisica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In_progr/Publ_2019/Heladeras/puertas/PuertasHelad_Fig_16_Dic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asod_VBA_2k6\A&#241;o%202005\Balances\Serie%20B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ia/gas_nat_propiedades_fisica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ustible_cocc"/>
      <sheetName val="World_prim"/>
      <sheetName val="Primaria (2)"/>
      <sheetName val="Secundaria (2)"/>
      <sheetName val="sec_Elect (2)"/>
      <sheetName val="OECD"/>
      <sheetName val="Electricidad"/>
      <sheetName val="SecondRA"/>
      <sheetName val="Todos _años"/>
      <sheetName val="Figuras"/>
      <sheetName val="Fig"/>
      <sheetName val="Primaria"/>
      <sheetName val="sec_Elect"/>
      <sheetName val="Electricidad_RA"/>
      <sheetName val="Secundaria"/>
      <sheetName val="Poblacion_RA"/>
      <sheetName val="World"/>
      <sheetName val="21"/>
      <sheetName val="20"/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09"/>
      <sheetName val="08"/>
      <sheetName val="07"/>
      <sheetName val="06"/>
      <sheetName val="05"/>
      <sheetName val="04"/>
      <sheetName val="03"/>
      <sheetName val="02"/>
      <sheetName val="01"/>
      <sheetName val="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5"/>
      <sheetName val="84"/>
      <sheetName val="83"/>
      <sheetName val="82"/>
      <sheetName val="81"/>
      <sheetName val="80"/>
      <sheetName val="79"/>
      <sheetName val="78"/>
      <sheetName val="77"/>
      <sheetName val="76"/>
      <sheetName val="75"/>
      <sheetName val="74"/>
      <sheetName val="73"/>
      <sheetName val="72"/>
      <sheetName val="71"/>
      <sheetName val="70"/>
      <sheetName val="69"/>
      <sheetName val="68"/>
      <sheetName val="67"/>
      <sheetName val="66"/>
      <sheetName val="65"/>
      <sheetName val="64"/>
      <sheetName val="63"/>
      <sheetName val="62"/>
      <sheetName val="61"/>
      <sheetName val="60"/>
      <sheetName val="17(c)"/>
      <sheetName val="188"/>
    </sheetNames>
    <sheetDataSet>
      <sheetData sheetId="0">
        <row r="4">
          <cell r="M4">
            <v>41.5</v>
          </cell>
        </row>
      </sheetData>
      <sheetData sheetId="1">
        <row r="2">
          <cell r="BU2">
            <v>1.9E-2</v>
          </cell>
        </row>
      </sheetData>
      <sheetData sheetId="2"/>
      <sheetData sheetId="3"/>
      <sheetData sheetId="4"/>
      <sheetData sheetId="5"/>
      <sheetData sheetId="6">
        <row r="1">
          <cell r="K1">
            <v>11.627906976744184</v>
          </cell>
        </row>
      </sheetData>
      <sheetData sheetId="7"/>
      <sheetData sheetId="8">
        <row r="3">
          <cell r="L3">
            <v>41500</v>
          </cell>
        </row>
        <row r="4">
          <cell r="L4">
            <v>1500</v>
          </cell>
        </row>
        <row r="5">
          <cell r="AD5">
            <v>11.6279069767442</v>
          </cell>
        </row>
        <row r="6">
          <cell r="L6">
            <v>-80</v>
          </cell>
        </row>
        <row r="71">
          <cell r="L71">
            <v>0.45500000000000002</v>
          </cell>
          <cell r="M71">
            <v>0.43</v>
          </cell>
        </row>
        <row r="72">
          <cell r="L72">
            <v>6.0000000000000001E-3</v>
          </cell>
          <cell r="M72">
            <v>-6.0000000000000001E-3</v>
          </cell>
        </row>
        <row r="73">
          <cell r="L73">
            <v>-1.4999999999999999E-4</v>
          </cell>
          <cell r="M73">
            <v>2.0000000000000001E-4</v>
          </cell>
        </row>
      </sheetData>
      <sheetData sheetId="9"/>
      <sheetData sheetId="10"/>
      <sheetData sheetId="11">
        <row r="1">
          <cell r="U1">
            <v>3.968E-2</v>
          </cell>
        </row>
        <row r="2">
          <cell r="U2">
            <v>2.9459419649432903E-3</v>
          </cell>
          <cell r="X2">
            <v>11.627906976744185</v>
          </cell>
        </row>
        <row r="3">
          <cell r="T3">
            <v>11.627906976744184</v>
          </cell>
          <cell r="V3">
            <v>1.0752688172043001</v>
          </cell>
        </row>
        <row r="4">
          <cell r="T4">
            <v>1.1627906976744184E-2</v>
          </cell>
        </row>
      </sheetData>
      <sheetData sheetId="12">
        <row r="1">
          <cell r="E1">
            <v>1.1630000000000001E-2</v>
          </cell>
        </row>
      </sheetData>
      <sheetData sheetId="13"/>
      <sheetData sheetId="14">
        <row r="2">
          <cell r="CH2">
            <v>3.4794520547945205E-3</v>
          </cell>
        </row>
        <row r="8">
          <cell r="Q8">
            <v>11627906.976744184</v>
          </cell>
        </row>
        <row r="9">
          <cell r="D9">
            <v>4.1868000000000002E-2</v>
          </cell>
          <cell r="H9">
            <v>11.63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9">
          <cell r="AL29">
            <v>0.9</v>
          </cell>
        </row>
      </sheetData>
      <sheetData sheetId="24"/>
      <sheetData sheetId="25"/>
      <sheetData sheetId="26"/>
      <sheetData sheetId="27"/>
      <sheetData sheetId="28">
        <row r="58">
          <cell r="E58">
            <v>1.0752688172043001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R(9)"/>
      <sheetName val="Consumo R(7)"/>
      <sheetName val="Consumo R(6)"/>
      <sheetName val="Consumo R(5)"/>
      <sheetName val="Consumo R(4)"/>
      <sheetName val="Consumo R(3)"/>
      <sheetName val="Consumo R(2)"/>
      <sheetName val="Consumo"/>
      <sheetName val="Consumo_nuñez (2)"/>
      <sheetName val="Consumo R23_nuñez(8)"/>
      <sheetName val="Consumo R23_Almagro"/>
      <sheetName val="Inform_final R23_Nuñez"/>
    </sheetNames>
    <sheetDataSet>
      <sheetData sheetId="0"/>
      <sheetData sheetId="1"/>
      <sheetData sheetId="2">
        <row r="13">
          <cell r="C13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">
          <cell r="C4">
            <v>0.8</v>
          </cell>
        </row>
        <row r="10">
          <cell r="I10">
            <v>122</v>
          </cell>
        </row>
        <row r="14">
          <cell r="C14">
            <v>20000</v>
          </cell>
        </row>
      </sheetData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_resumen_Nov2019"/>
      <sheetName val="Cons_efic"/>
      <sheetName val="Pais"/>
      <sheetName val="Eficiencia"/>
      <sheetName val="Heladeras_01"/>
      <sheetName val="coccion_resumen"/>
      <sheetName val="artefactos_vendidos"/>
      <sheetName val="Consumos_ACS"/>
      <sheetName val="Figuras"/>
      <sheetName val="Gas (2)"/>
      <sheetName val="Energia_resumen"/>
      <sheetName val="EyMA2017"/>
      <sheetName val="Heladeras (2)"/>
      <sheetName val="Lavavajilla"/>
      <sheetName val="Heladeras"/>
    </sheetNames>
    <sheetDataSet>
      <sheetData sheetId="0"/>
      <sheetData sheetId="1"/>
      <sheetData sheetId="2"/>
      <sheetData sheetId="3"/>
      <sheetData sheetId="4">
        <row r="8">
          <cell r="J8">
            <v>11000000</v>
          </cell>
        </row>
        <row r="9">
          <cell r="N9">
            <v>0.5</v>
          </cell>
        </row>
        <row r="10">
          <cell r="J10">
            <v>377.77777777777777</v>
          </cell>
          <cell r="V10">
            <v>15</v>
          </cell>
        </row>
        <row r="11">
          <cell r="S11">
            <v>2.7</v>
          </cell>
        </row>
        <row r="52">
          <cell r="Q52">
            <v>45</v>
          </cell>
        </row>
        <row r="53">
          <cell r="O53">
            <v>333.33333333333331</v>
          </cell>
          <cell r="Q53">
            <v>0.4</v>
          </cell>
          <cell r="U53">
            <v>10</v>
          </cell>
        </row>
      </sheetData>
      <sheetData sheetId="5"/>
      <sheetData sheetId="6"/>
      <sheetData sheetId="7">
        <row r="2">
          <cell r="K2">
            <v>0.9</v>
          </cell>
          <cell r="L2">
            <v>0.96529166666666677</v>
          </cell>
        </row>
        <row r="4">
          <cell r="L4">
            <v>1.075268817204301</v>
          </cell>
        </row>
        <row r="5">
          <cell r="L5">
            <v>0.55107526881720426</v>
          </cell>
        </row>
        <row r="6">
          <cell r="L6">
            <v>0.19287634408602147</v>
          </cell>
        </row>
      </sheetData>
      <sheetData sheetId="8">
        <row r="1">
          <cell r="E1">
            <v>0.65</v>
          </cell>
          <cell r="J1">
            <v>0.49731182795698925</v>
          </cell>
        </row>
        <row r="2">
          <cell r="J2">
            <v>0.17405913978494622</v>
          </cell>
        </row>
      </sheetData>
      <sheetData sheetId="9"/>
      <sheetData sheetId="10">
        <row r="1">
          <cell r="G1">
            <v>10.813833333333299</v>
          </cell>
        </row>
        <row r="49">
          <cell r="B49">
            <v>0.5</v>
          </cell>
        </row>
        <row r="50">
          <cell r="B50">
            <v>1.95</v>
          </cell>
        </row>
        <row r="54">
          <cell r="B54">
            <v>0.77196710314454875</v>
          </cell>
        </row>
        <row r="56">
          <cell r="Y56">
            <v>10.813833333333335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"/>
      <sheetName val="UNSAM_resumen_Oct2021"/>
      <sheetName val="UNSAM Resumen"/>
      <sheetName val="Villa Rosa_corr"/>
      <sheetName val="Consumo de referencia"/>
      <sheetName val="Sólo Villa Rosa 98 rel (2)"/>
      <sheetName val="Lavavajilla"/>
    </sheetNames>
    <sheetDataSet>
      <sheetData sheetId="0"/>
      <sheetData sheetId="1">
        <row r="166">
          <cell r="D166">
            <v>1.92</v>
          </cell>
        </row>
      </sheetData>
      <sheetData sheetId="2"/>
      <sheetData sheetId="3"/>
      <sheetData sheetId="4"/>
      <sheetData sheetId="5"/>
      <sheetData sheetId="6">
        <row r="7">
          <cell r="D7" t="str">
            <v>Consumo por ciclo lavado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_resumen_2019"/>
      <sheetName val="heladera(0)"/>
      <sheetName val="heladera(1)"/>
      <sheetName val="Idae"/>
      <sheetName val="Spain_Idae (2)"/>
      <sheetName val="USA"/>
      <sheetName val="Heladeras"/>
      <sheetName val="Hoja1"/>
      <sheetName val="consu_esp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W21">
            <v>0.4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015_min"/>
      <sheetName val="jul2015_min"/>
      <sheetName val="Ago2015_min"/>
      <sheetName val="sep2015_min"/>
      <sheetName val="Oct2015_min"/>
      <sheetName val="Nov2015_min (1)"/>
      <sheetName val="Dic2015_min"/>
      <sheetName val="jan2016_min"/>
      <sheetName val="ano1"/>
      <sheetName val="Cons_elec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N2">
            <v>1.6666666666666667E-5</v>
          </cell>
        </row>
      </sheetData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iedades_gas"/>
      <sheetName val="Unidades_Energia"/>
      <sheetName val="Constantes fisico-Quimicas"/>
      <sheetName val="Energy_Facts"/>
      <sheetName val="Prop_Alcanos(Perry)"/>
      <sheetName val="Propiedades Gases"/>
      <sheetName val="Costo_energía"/>
      <sheetName val="Prod_CO2"/>
      <sheetName val="Gráfico1"/>
      <sheetName val="Gráfico2"/>
      <sheetName val="Gráfico3"/>
      <sheetName val="Gráfico4"/>
      <sheetName val="Gasto_Cocción"/>
      <sheetName val="Costo_comp"/>
      <sheetName val="Gasto_calefaccion"/>
      <sheetName val="US_gas Price"/>
      <sheetName val="energy Content"/>
      <sheetName val="Poder_calorifico"/>
      <sheetName val="Gas_nat_Economia"/>
      <sheetName val="Cons_gas"/>
      <sheetName val="Cons_elec"/>
      <sheetName val="Combustible"/>
      <sheetName val="solar"/>
      <sheetName val="Worl_energy_reserves"/>
      <sheetName val="Costo_energia_RA"/>
      <sheetName val="SE_conversion"/>
      <sheetName val="Hoja2"/>
      <sheetName val="Figuras"/>
      <sheetName val="Sub_mult_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3.5</v>
          </cell>
        </row>
        <row r="4">
          <cell r="B4">
            <v>4.5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_reserve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0-2011"/>
      <sheetName val="Gas - Prices "/>
      <sheetName val="Coal - Reserves"/>
      <sheetName val="Coal - Prices"/>
      <sheetName val="Coal - Production tonnes"/>
      <sheetName val=" Coal - Production Mtoe"/>
      <sheetName val="Coal - Consumption Mtoe"/>
      <sheetName val="Nuclear Energy Consumption TWh"/>
      <sheetName val="Nuclear Energy Consumption Mtoe"/>
      <sheetName val="Hydro Consumption TWh"/>
      <sheetName val=" Hydro Consumption-Mtoe"/>
      <sheetName val="Other renewables-Mtoe"/>
      <sheetName val="Other renewables-Twh"/>
      <sheetName val="Solar consumption-Twh"/>
      <sheetName val="Wind consumption-Twh "/>
      <sheetName val="Other consumption - Twh"/>
      <sheetName val="Biofuels Production - barrels "/>
      <sheetName val="Biofuels Production - Ktoe"/>
      <sheetName val="Primary Energy - Consumption"/>
      <sheetName val="Primary Energy - Cons by fuel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  <sheetName val="summary"/>
      <sheetName val="Poblacion_Wrld"/>
      <sheetName val="Worl_energy_reserves"/>
      <sheetName val="Consumo_electr"/>
    </sheetNames>
    <sheetDataSet>
      <sheetData sheetId="0"/>
      <sheetData sheetId="1">
        <row r="2">
          <cell r="K2">
            <v>5.5513000000000003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K2">
            <v>28.021135208008001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9">
          <cell r="BA89">
            <v>2003</v>
          </cell>
        </row>
      </sheetData>
      <sheetData sheetId="49"/>
      <sheetData sheetId="50"/>
      <sheetData sheetId="51"/>
      <sheetData sheetId="52"/>
      <sheetData sheetId="53"/>
      <sheetData sheetId="54">
        <row r="9">
          <cell r="AA9">
            <v>1.5900000000000001E-2</v>
          </cell>
        </row>
        <row r="10">
          <cell r="AA10">
            <v>-29.658000000000001</v>
          </cell>
        </row>
      </sheetData>
      <sheetData sheetId="55">
        <row r="4">
          <cell r="Q4">
            <v>1.5762000000000002E-2</v>
          </cell>
        </row>
        <row r="7">
          <cell r="AM7">
            <v>10</v>
          </cell>
        </row>
        <row r="8">
          <cell r="N8">
            <v>1.1574074074074073E-2</v>
          </cell>
          <cell r="AM8">
            <v>2100</v>
          </cell>
        </row>
        <row r="9">
          <cell r="R9">
            <v>2.9890357664061729E-2</v>
          </cell>
          <cell r="AM9">
            <v>2.9999999999999997E-4</v>
          </cell>
        </row>
      </sheetData>
      <sheetData sheetId="56"/>
      <sheetData sheetId="57">
        <row r="38">
          <cell r="BK38">
            <v>0.22</v>
          </cell>
        </row>
        <row r="39">
          <cell r="BK39">
            <v>0.151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resumen_2018"/>
      <sheetName val="Fig"/>
      <sheetName val="Heladeras"/>
      <sheetName val="Cosumos_VS (Centro)"/>
      <sheetName val="Cosumos_VS (chubut)"/>
      <sheetName val="Cosumos_VS"/>
      <sheetName val="Lavavajilla"/>
      <sheetName val="Fig.3_Costo_cocc_N18"/>
      <sheetName val="Heladeras_02"/>
      <sheetName val="Heladeras_01"/>
      <sheetName val="coccion_resumen"/>
      <sheetName val="artefactos_vendidos"/>
      <sheetName val="Consumos_ACS"/>
      <sheetName val="Figuras"/>
      <sheetName val="Gas (2)"/>
      <sheetName val="Pais"/>
      <sheetName val="Energia_resumen"/>
      <sheetName val="EyMA2017"/>
      <sheetName val="Hoja1"/>
      <sheetName val="Energia_resumen_2018"/>
      <sheetName val="coccion-Uso Final"/>
      <sheetName val="Calef (2)"/>
      <sheetName val="Consumo_Gas"/>
      <sheetName val="Fig.11"/>
      <sheetName val="Fig.12"/>
      <sheetName val="consu_espec"/>
      <sheetName val="consu_especElectrico"/>
      <sheetName val="Gasto_Cocción"/>
      <sheetName val="Hoja2"/>
      <sheetName val="Fig_18_consu_espec"/>
      <sheetName val="Fig_19_rosenf_RA"/>
    </sheetNames>
    <sheetDataSet>
      <sheetData sheetId="0"/>
      <sheetData sheetId="1"/>
      <sheetData sheetId="2">
        <row r="35">
          <cell r="V35">
            <v>350</v>
          </cell>
        </row>
        <row r="39">
          <cell r="V39">
            <v>12</v>
          </cell>
        </row>
        <row r="40">
          <cell r="Q40">
            <v>3500000000</v>
          </cell>
        </row>
        <row r="47">
          <cell r="L47">
            <v>141</v>
          </cell>
        </row>
        <row r="48">
          <cell r="L48">
            <v>0</v>
          </cell>
        </row>
      </sheetData>
      <sheetData sheetId="3"/>
      <sheetData sheetId="4"/>
      <sheetData sheetId="5"/>
      <sheetData sheetId="6"/>
      <sheetData sheetId="7">
        <row r="2">
          <cell r="E2">
            <v>0.86</v>
          </cell>
        </row>
      </sheetData>
      <sheetData sheetId="8">
        <row r="8">
          <cell r="J8">
            <v>10000000</v>
          </cell>
        </row>
      </sheetData>
      <sheetData sheetId="9">
        <row r="10">
          <cell r="U10">
            <v>15</v>
          </cell>
        </row>
      </sheetData>
      <sheetData sheetId="10"/>
      <sheetData sheetId="11"/>
      <sheetData sheetId="12">
        <row r="2">
          <cell r="K2">
            <v>0.9</v>
          </cell>
        </row>
      </sheetData>
      <sheetData sheetId="13">
        <row r="1">
          <cell r="E1">
            <v>0.65</v>
          </cell>
        </row>
      </sheetData>
      <sheetData sheetId="14"/>
      <sheetData sheetId="15">
        <row r="6">
          <cell r="A6" t="str">
            <v>CABA</v>
          </cell>
        </row>
      </sheetData>
      <sheetData sheetId="16">
        <row r="1">
          <cell r="G1">
            <v>10.813833333333299</v>
          </cell>
        </row>
      </sheetData>
      <sheetData sheetId="17"/>
      <sheetData sheetId="18"/>
      <sheetData sheetId="19">
        <row r="73">
          <cell r="D73">
            <v>1.92</v>
          </cell>
        </row>
      </sheetData>
      <sheetData sheetId="20"/>
      <sheetData sheetId="21"/>
      <sheetData sheetId="22">
        <row r="6">
          <cell r="E6">
            <v>150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(xx)"/>
      <sheetName val="Fig.(60)"/>
      <sheetName val="Fig.(62)"/>
      <sheetName val="Fig.(63)"/>
      <sheetName val="Fig.(29)"/>
      <sheetName val="Calefaccion"/>
      <sheetName val="Costo Calefac_MdelP(20)"/>
      <sheetName val="Costo Calefac_RA(19)"/>
      <sheetName val="Costo Calefac_Baril(20)"/>
      <sheetName val="Fig_Cons_Casas"/>
      <sheetName val="Fig.3_Costo_cocc_N18"/>
      <sheetName val="E_resumen_2019"/>
      <sheetName val="coccion_resumen"/>
      <sheetName val="Gasto_Cocción"/>
      <sheetName val="Cosumos_VS (Centro)"/>
      <sheetName val="Cosumos_VS (chubut)"/>
      <sheetName val="Fig.xx(5)"/>
      <sheetName val="Cosumos_VS"/>
      <sheetName val="Lavavajilla"/>
      <sheetName val="Heladeras_02"/>
      <sheetName val="artefactos_vendidos"/>
      <sheetName val="Consumos_ACS"/>
      <sheetName val="Figuras"/>
      <sheetName val="Gas (2)"/>
      <sheetName val="Pais"/>
      <sheetName val="Energia_resumen"/>
      <sheetName val="EyMA2019"/>
      <sheetName val="Heladeras"/>
      <sheetName val="Hoja1"/>
      <sheetName val="Energia_resumen_2018"/>
      <sheetName val="coccion-Uso Final"/>
      <sheetName val="Calef (2)"/>
      <sheetName val="Consumo_Gas"/>
      <sheetName val="Fig.11"/>
      <sheetName val="Fig.12"/>
      <sheetName val="consu_espec"/>
      <sheetName val="consu_especElectrico"/>
      <sheetName val="Consumo_electr"/>
      <sheetName val="Fig_18_consu_espec"/>
      <sheetName val="Fig_19_rosenf_RA"/>
      <sheetName val="DGD"/>
      <sheetName val="Gasto_Cocc_Cordoba"/>
    </sheetNames>
    <sheetDataSet>
      <sheetData sheetId="0"/>
      <sheetData sheetId="1"/>
      <sheetData sheetId="2"/>
      <sheetData sheetId="3"/>
      <sheetData sheetId="4"/>
      <sheetData sheetId="5">
        <row r="1">
          <cell r="Q1">
            <v>1.5</v>
          </cell>
        </row>
        <row r="4">
          <cell r="R4">
            <v>1.66</v>
          </cell>
        </row>
        <row r="5">
          <cell r="J5">
            <v>168</v>
          </cell>
        </row>
      </sheetData>
      <sheetData sheetId="6"/>
      <sheetData sheetId="7">
        <row r="3">
          <cell r="AI3">
            <v>0.3</v>
          </cell>
        </row>
        <row r="4">
          <cell r="X4">
            <v>0.27</v>
          </cell>
          <cell r="AD4">
            <v>0.3</v>
          </cell>
        </row>
        <row r="20">
          <cell r="R20">
            <v>58</v>
          </cell>
        </row>
        <row r="34">
          <cell r="AD34">
            <v>4.462405693171152</v>
          </cell>
        </row>
        <row r="56">
          <cell r="F56">
            <v>7.0000000000000007E-2</v>
          </cell>
        </row>
        <row r="57">
          <cell r="G57">
            <v>9.7454679854667852</v>
          </cell>
        </row>
      </sheetData>
      <sheetData sheetId="8">
        <row r="57">
          <cell r="J57">
            <v>0.30101744951180132</v>
          </cell>
        </row>
      </sheetData>
      <sheetData sheetId="9"/>
      <sheetData sheetId="10">
        <row r="2">
          <cell r="E2">
            <v>0.86</v>
          </cell>
          <cell r="I2">
            <v>58</v>
          </cell>
        </row>
      </sheetData>
      <sheetData sheetId="11"/>
      <sheetData sheetId="12"/>
      <sheetData sheetId="13"/>
      <sheetData sheetId="14"/>
      <sheetData sheetId="15"/>
      <sheetData sheetId="16">
        <row r="1">
          <cell r="H1">
            <v>4400</v>
          </cell>
        </row>
      </sheetData>
      <sheetData sheetId="17"/>
      <sheetData sheetId="18"/>
      <sheetData sheetId="19">
        <row r="8">
          <cell r="J8">
            <v>10000000</v>
          </cell>
        </row>
        <row r="9">
          <cell r="N9">
            <v>0.5</v>
          </cell>
        </row>
        <row r="10">
          <cell r="J10">
            <v>465.75342465753425</v>
          </cell>
        </row>
        <row r="11">
          <cell r="S11">
            <v>2.7</v>
          </cell>
        </row>
      </sheetData>
      <sheetData sheetId="20"/>
      <sheetData sheetId="21">
        <row r="1">
          <cell r="Y1">
            <v>23.946360153256702</v>
          </cell>
        </row>
        <row r="2">
          <cell r="L2">
            <v>0.9</v>
          </cell>
          <cell r="M2">
            <v>0.96529166666666677</v>
          </cell>
          <cell r="Y2">
            <v>74.137931034482762</v>
          </cell>
        </row>
        <row r="3">
          <cell r="Y3">
            <v>7.0000000000000007E-2</v>
          </cell>
        </row>
        <row r="4">
          <cell r="M4">
            <v>1.075268817204301</v>
          </cell>
          <cell r="Y4">
            <v>0.93457943925233644</v>
          </cell>
        </row>
        <row r="5">
          <cell r="M5">
            <v>0.5376344086021505</v>
          </cell>
        </row>
        <row r="6">
          <cell r="M6">
            <v>0.18817204301075269</v>
          </cell>
        </row>
        <row r="7">
          <cell r="H7">
            <v>0.35</v>
          </cell>
        </row>
        <row r="8">
          <cell r="Q8">
            <v>9.7454679854667852</v>
          </cell>
        </row>
      </sheetData>
      <sheetData sheetId="22">
        <row r="1">
          <cell r="E1">
            <v>0.65</v>
          </cell>
          <cell r="J1">
            <v>0.49731182795698925</v>
          </cell>
          <cell r="Q1">
            <v>0.65</v>
          </cell>
          <cell r="T1">
            <v>1.17</v>
          </cell>
        </row>
        <row r="2">
          <cell r="J2">
            <v>0.17405913978494622</v>
          </cell>
          <cell r="M2">
            <v>0.65</v>
          </cell>
        </row>
      </sheetData>
      <sheetData sheetId="23"/>
      <sheetData sheetId="24"/>
      <sheetData sheetId="25">
        <row r="1">
          <cell r="G1">
            <v>10.813833333333299</v>
          </cell>
        </row>
        <row r="101">
          <cell r="B101">
            <v>1.8996923076923078</v>
          </cell>
        </row>
        <row r="102">
          <cell r="B102">
            <v>0.34300000000000003</v>
          </cell>
        </row>
        <row r="104">
          <cell r="B104">
            <v>0.18055555555555555</v>
          </cell>
        </row>
      </sheetData>
      <sheetData sheetId="26"/>
      <sheetData sheetId="27"/>
      <sheetData sheetId="28"/>
      <sheetData sheetId="29">
        <row r="73">
          <cell r="D73">
            <v>1.92</v>
          </cell>
        </row>
      </sheetData>
      <sheetData sheetId="30"/>
      <sheetData sheetId="31"/>
      <sheetData sheetId="32">
        <row r="6">
          <cell r="E6">
            <v>150</v>
          </cell>
        </row>
        <row r="12">
          <cell r="E12">
            <v>1.7616438356164383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"/>
      <sheetName val="mes"/>
      <sheetName val="InyeccionNacional"/>
      <sheetName val="inj_mes_op(3)"/>
      <sheetName val="TIII_2"/>
      <sheetName val="Residencial"/>
      <sheetName val="Distrib_Cons"/>
      <sheetName val="C_pais"/>
      <sheetName val="CABA"/>
      <sheetName val="T_pais"/>
      <sheetName val="CABA (0)"/>
      <sheetName val="T_PBA (0)"/>
      <sheetName val="Cordoba"/>
      <sheetName val="SantaFe"/>
    </sheetNames>
    <sheetDataSet>
      <sheetData sheetId="0"/>
      <sheetData sheetId="1">
        <row r="2">
          <cell r="K2">
            <v>27</v>
          </cell>
        </row>
        <row r="5">
          <cell r="K5">
            <v>10</v>
          </cell>
          <cell r="L5">
            <v>18</v>
          </cell>
        </row>
      </sheetData>
      <sheetData sheetId="2"/>
      <sheetData sheetId="3"/>
      <sheetData sheetId="4">
        <row r="8">
          <cell r="L8" t="str">
            <v>fecha</v>
          </cell>
        </row>
      </sheetData>
      <sheetData sheetId="5">
        <row r="5">
          <cell r="CN5">
            <v>0.34796824162658413</v>
          </cell>
        </row>
      </sheetData>
      <sheetData sheetId="6">
        <row r="1">
          <cell r="H1">
            <v>4.0561194570503858</v>
          </cell>
          <cell r="N1">
            <v>4.5</v>
          </cell>
        </row>
      </sheetData>
      <sheetData sheetId="7">
        <row r="3">
          <cell r="AB3">
            <v>3.3628972440068874</v>
          </cell>
        </row>
      </sheetData>
      <sheetData sheetId="8">
        <row r="1">
          <cell r="I1">
            <v>17</v>
          </cell>
        </row>
        <row r="2">
          <cell r="A2">
            <v>2.6571649888730264</v>
          </cell>
          <cell r="I2">
            <v>0.6028368794326241</v>
          </cell>
        </row>
        <row r="3">
          <cell r="A3">
            <v>0.75</v>
          </cell>
        </row>
      </sheetData>
      <sheetData sheetId="9">
        <row r="2">
          <cell r="C2">
            <v>0.1</v>
          </cell>
        </row>
        <row r="3">
          <cell r="E3">
            <v>0.6</v>
          </cell>
          <cell r="F3">
            <v>0.35</v>
          </cell>
        </row>
        <row r="4">
          <cell r="L4">
            <v>200</v>
          </cell>
        </row>
        <row r="5">
          <cell r="C5">
            <v>0.35738934233213226</v>
          </cell>
          <cell r="E5">
            <v>0.5</v>
          </cell>
          <cell r="F5">
            <v>0.5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iedades_gas"/>
      <sheetName val="Unidades_Energia"/>
      <sheetName val="Constantes fisico-Quimicas"/>
      <sheetName val="Energy_Facts"/>
      <sheetName val="Gasto_calefaccion"/>
      <sheetName val="Prop_Alcanos(Perry)"/>
      <sheetName val="Propiedades Gases"/>
      <sheetName val="Costo_energía"/>
      <sheetName val="Prod_CO2"/>
      <sheetName val="$_M-BTU"/>
      <sheetName val="$_M-BTU (2)"/>
      <sheetName val="$_M_J"/>
      <sheetName val="Costo_comp"/>
      <sheetName val="US_gas Price"/>
      <sheetName val="energy Content"/>
      <sheetName val="Poder_calorifico"/>
      <sheetName val="Gas_nat_Economia"/>
      <sheetName val="Cons_gas"/>
      <sheetName val="Cons_elec"/>
      <sheetName val="Combustible"/>
      <sheetName val="solar"/>
      <sheetName val="Worl_energy_reserves"/>
      <sheetName val="SE_conversion"/>
      <sheetName val="Hoja2"/>
      <sheetName val="Hoja3"/>
      <sheetName val="Consumo_gas_R"/>
      <sheetName val="Consum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N1">
            <v>22.4</v>
          </cell>
          <cell r="P1">
            <v>1</v>
          </cell>
        </row>
        <row r="2">
          <cell r="N2">
            <v>273</v>
          </cell>
          <cell r="P2">
            <v>1</v>
          </cell>
        </row>
        <row r="3">
          <cell r="P3">
            <v>288</v>
          </cell>
        </row>
        <row r="20">
          <cell r="E20">
            <v>0.78720000000000001</v>
          </cell>
        </row>
      </sheetData>
      <sheetData sheetId="7">
        <row r="1">
          <cell r="F1">
            <v>293.07103866134531</v>
          </cell>
        </row>
        <row r="2">
          <cell r="J2">
            <v>3.4121419999999995E-3</v>
          </cell>
        </row>
      </sheetData>
      <sheetData sheetId="8"/>
      <sheetData sheetId="9" refreshError="1"/>
      <sheetData sheetId="10" refreshError="1"/>
      <sheetData sheetId="11" refreshError="1"/>
      <sheetData sheetId="12">
        <row r="14">
          <cell r="H14">
            <v>1.0550558752316244</v>
          </cell>
        </row>
        <row r="15">
          <cell r="H15">
            <v>3.968321</v>
          </cell>
          <cell r="S15">
            <v>10</v>
          </cell>
        </row>
        <row r="61">
          <cell r="R61">
            <v>3.4121419999999998</v>
          </cell>
        </row>
      </sheetData>
      <sheetData sheetId="13"/>
      <sheetData sheetId="14">
        <row r="29">
          <cell r="F29">
            <v>3.785412</v>
          </cell>
        </row>
        <row r="30">
          <cell r="C30">
            <v>4.1867999999999999</v>
          </cell>
        </row>
      </sheetData>
      <sheetData sheetId="15">
        <row r="1">
          <cell r="J1">
            <v>4.1859999999999996E-3</v>
          </cell>
        </row>
      </sheetData>
      <sheetData sheetId="16"/>
      <sheetData sheetId="17">
        <row r="2">
          <cell r="J2">
            <v>9300</v>
          </cell>
        </row>
        <row r="4">
          <cell r="C4">
            <v>1500</v>
          </cell>
        </row>
        <row r="5">
          <cell r="C5">
            <v>1800</v>
          </cell>
        </row>
        <row r="6">
          <cell r="C6">
            <v>3000</v>
          </cell>
        </row>
        <row r="8">
          <cell r="C8">
            <v>20000</v>
          </cell>
        </row>
        <row r="9">
          <cell r="C9">
            <v>200</v>
          </cell>
        </row>
        <row r="10">
          <cell r="C10">
            <v>3500</v>
          </cell>
        </row>
        <row r="11">
          <cell r="C11">
            <v>1500</v>
          </cell>
        </row>
      </sheetData>
      <sheetData sheetId="18"/>
      <sheetData sheetId="19"/>
      <sheetData sheetId="20">
        <row r="3">
          <cell r="B3">
            <v>3.5</v>
          </cell>
        </row>
        <row r="5">
          <cell r="B5">
            <v>1</v>
          </cell>
        </row>
        <row r="6">
          <cell r="B6">
            <v>5748.75</v>
          </cell>
        </row>
      </sheetData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_resumen_Nov2019"/>
      <sheetName val="Calibra - Nov2019"/>
      <sheetName val="heladera_USA(1)"/>
      <sheetName val="heladera_USA(0)"/>
      <sheetName val="Heladeras (3)"/>
      <sheetName val="may_min_2019"/>
      <sheetName val="Analisis_nov"/>
      <sheetName val="Carga_dic"/>
      <sheetName val="Analisis_dic"/>
      <sheetName val="Calculos"/>
      <sheetName val="18"/>
      <sheetName val="Pais"/>
      <sheetName val="Fig1"/>
      <sheetName val="fig.2"/>
      <sheetName val="Fig3"/>
      <sheetName val="Fig 4"/>
      <sheetName val="Fig5"/>
      <sheetName val="Fig6"/>
      <sheetName val="Fig7"/>
      <sheetName val="Fig8"/>
      <sheetName val="fig9"/>
      <sheetName val="Fig10"/>
      <sheetName val="Fig 11"/>
      <sheetName val="Fig 12"/>
    </sheetNames>
    <sheetDataSet>
      <sheetData sheetId="0"/>
      <sheetData sheetId="1">
        <row r="5">
          <cell r="L5">
            <v>310</v>
          </cell>
        </row>
        <row r="6">
          <cell r="L6">
            <v>38.1</v>
          </cell>
        </row>
        <row r="107">
          <cell r="Q107">
            <v>0.93457943925233644</v>
          </cell>
        </row>
        <row r="109">
          <cell r="O109">
            <v>9.7454679854667852</v>
          </cell>
        </row>
        <row r="115">
          <cell r="M115">
            <v>7.2580645161290328E-2</v>
          </cell>
        </row>
      </sheetData>
      <sheetData sheetId="2">
        <row r="3">
          <cell r="K3" t="str">
            <v>Refrig. EE.UU.</v>
          </cell>
        </row>
      </sheetData>
      <sheetData sheetId="3">
        <row r="6">
          <cell r="C6" t="str">
            <v>Vol (litros)</v>
          </cell>
        </row>
      </sheetData>
      <sheetData sheetId="4">
        <row r="113">
          <cell r="I113">
            <v>936.98630136986299</v>
          </cell>
        </row>
      </sheetData>
      <sheetData sheetId="5">
        <row r="2">
          <cell r="J2">
            <v>6.9444444444444447E-4</v>
          </cell>
        </row>
        <row r="35106">
          <cell r="J35106">
            <v>60.898734177215189</v>
          </cell>
        </row>
        <row r="36035">
          <cell r="M36035">
            <v>24.920297258638506</v>
          </cell>
        </row>
      </sheetData>
      <sheetData sheetId="6">
        <row r="13">
          <cell r="H13">
            <v>727.35782684943513</v>
          </cell>
        </row>
        <row r="15">
          <cell r="E15">
            <v>30</v>
          </cell>
        </row>
        <row r="16">
          <cell r="E16">
            <v>180</v>
          </cell>
        </row>
      </sheetData>
      <sheetData sheetId="7">
        <row r="23">
          <cell r="H23">
            <v>0.80622265078962707</v>
          </cell>
        </row>
      </sheetData>
      <sheetData sheetId="8">
        <row r="8">
          <cell r="B8">
            <v>25</v>
          </cell>
          <cell r="D8">
            <v>20.3</v>
          </cell>
        </row>
      </sheetData>
      <sheetData sheetId="9">
        <row r="1">
          <cell r="C1">
            <v>25</v>
          </cell>
        </row>
        <row r="2">
          <cell r="C2">
            <v>254</v>
          </cell>
        </row>
        <row r="3">
          <cell r="C3">
            <v>110</v>
          </cell>
        </row>
        <row r="9">
          <cell r="C9">
            <v>-18</v>
          </cell>
        </row>
        <row r="10">
          <cell r="C10">
            <v>5.3</v>
          </cell>
        </row>
        <row r="11">
          <cell r="G11">
            <v>20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"/>
      <sheetName val="Primaria"/>
      <sheetName val="Secundaria"/>
      <sheetName val="Matriz"/>
      <sheetName val="aeroker"/>
      <sheetName val="Aux"/>
      <sheetName val="04"/>
      <sheetName val="03"/>
      <sheetName val="02"/>
      <sheetName val="01"/>
      <sheetName val="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5"/>
      <sheetName val="84"/>
      <sheetName val="83"/>
      <sheetName val="82"/>
      <sheetName val="81"/>
      <sheetName val="80"/>
      <sheetName val="79"/>
      <sheetName val="78"/>
      <sheetName val="77"/>
      <sheetName val="76"/>
      <sheetName val="75"/>
      <sheetName val="74"/>
      <sheetName val="73"/>
      <sheetName val="72"/>
      <sheetName val="71"/>
      <sheetName val="70"/>
    </sheetNames>
    <sheetDataSet>
      <sheetData sheetId="0">
        <row r="2">
          <cell r="C2" t="str">
            <v>OFERTA</v>
          </cell>
          <cell r="L2" t="str">
            <v>TRANSFORMACION</v>
          </cell>
          <cell r="S2" t="str">
            <v>CONSUMO</v>
          </cell>
        </row>
        <row r="3">
          <cell r="B3" t="str">
            <v>Año:2005</v>
          </cell>
          <cell r="C3" t="str">
            <v>PRODUCCION</v>
          </cell>
          <cell r="D3" t="str">
            <v>IMPORTACION</v>
          </cell>
          <cell r="E3" t="str">
            <v>VARIACION DE STOCK</v>
          </cell>
          <cell r="F3" t="str">
            <v>OFERTA TOTAL</v>
          </cell>
          <cell r="G3" t="str">
            <v>EXPORTACION Y BUNKER</v>
          </cell>
          <cell r="H3" t="str">
            <v>NO APROVECHADO</v>
          </cell>
          <cell r="I3" t="str">
            <v>PERDIDAS</v>
          </cell>
          <cell r="J3" t="str">
            <v>AJUSTES</v>
          </cell>
          <cell r="K3" t="str">
            <v>OFERTA INTERNA</v>
          </cell>
          <cell r="L3" t="str">
            <v>CENTRALES ELECTRICAS</v>
          </cell>
          <cell r="N3" t="str">
            <v>PLANTAS DE TRATAMIENTO DE GAS</v>
          </cell>
          <cell r="O3" t="str">
            <v>REFINERIAS</v>
          </cell>
          <cell r="P3" t="str">
            <v>COQUERIAS</v>
          </cell>
          <cell r="Q3" t="str">
            <v>CARBONERAS</v>
          </cell>
          <cell r="R3" t="str">
            <v>ALTOS HORNOS</v>
          </cell>
          <cell r="S3" t="str">
            <v>CONSUMO PROPIO</v>
          </cell>
          <cell r="T3" t="str">
            <v>CONSUMO FINAL</v>
          </cell>
        </row>
        <row r="4">
          <cell r="B4" t="str">
            <v xml:space="preserve">en miles de TEP </v>
          </cell>
          <cell r="T4" t="str">
            <v>TOTAL</v>
          </cell>
          <cell r="U4" t="str">
            <v>NO ENERGETICO</v>
          </cell>
          <cell r="V4" t="str">
            <v>ENERGETICOS</v>
          </cell>
        </row>
        <row r="5">
          <cell r="B5" t="str">
            <v>PROVISORIO</v>
          </cell>
          <cell r="L5" t="str">
            <v>SERVICIO PUBLICO</v>
          </cell>
          <cell r="M5" t="str">
            <v>AUTOPRODUCCION</v>
          </cell>
          <cell r="V5" t="str">
            <v>RESIDENCIAL</v>
          </cell>
          <cell r="W5" t="str">
            <v>COMERCIAL Y PUBLICO</v>
          </cell>
          <cell r="X5" t="str">
            <v>TRANSPORTE</v>
          </cell>
          <cell r="Y5" t="str">
            <v>AGROPECUARIO</v>
          </cell>
          <cell r="Z5" t="str">
            <v>INDUSTRIA</v>
          </cell>
        </row>
        <row r="7">
          <cell r="B7" t="str">
            <v>ARGENTINA</v>
          </cell>
        </row>
        <row r="9">
          <cell r="B9" t="str">
            <v>Formas</v>
          </cell>
        </row>
        <row r="11">
          <cell r="B11" t="str">
            <v>de</v>
          </cell>
        </row>
        <row r="13">
          <cell r="B13" t="str">
            <v>Energía</v>
          </cell>
        </row>
        <row r="18">
          <cell r="A18" t="str">
            <v>PRIMARIA</v>
          </cell>
          <cell r="B18" t="str">
            <v>Energía Hidráulica</v>
          </cell>
          <cell r="C18">
            <v>0</v>
          </cell>
          <cell r="F18">
            <v>0</v>
          </cell>
          <cell r="K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 t="str">
            <v>Nuclear</v>
          </cell>
          <cell r="C19">
            <v>0</v>
          </cell>
          <cell r="F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 t="str">
            <v>Gas Natural</v>
          </cell>
          <cell r="F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 t="str">
            <v>Petroleo</v>
          </cell>
          <cell r="F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 t="str">
            <v>Carbón Mineral</v>
          </cell>
          <cell r="F22">
            <v>0</v>
          </cell>
          <cell r="K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 t="str">
            <v>Leña</v>
          </cell>
          <cell r="F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 t="str">
            <v>Bagazo</v>
          </cell>
          <cell r="F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 t="str">
            <v>Otros Primarios</v>
          </cell>
          <cell r="F25">
            <v>0</v>
          </cell>
          <cell r="K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 t="str">
            <v>TOTAL I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8">
          <cell r="A28" t="str">
            <v>SECUNDARIA</v>
          </cell>
          <cell r="B28" t="str">
            <v>Electricidad</v>
          </cell>
          <cell r="C28">
            <v>0</v>
          </cell>
          <cell r="F28">
            <v>0</v>
          </cell>
          <cell r="K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</row>
        <row r="29">
          <cell r="B29" t="str">
            <v>Gas Distribuido por Redes</v>
          </cell>
          <cell r="C29">
            <v>0</v>
          </cell>
          <cell r="F29">
            <v>0</v>
          </cell>
          <cell r="K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</row>
        <row r="30">
          <cell r="B30" t="str">
            <v>Gas de Refinería</v>
          </cell>
          <cell r="C30">
            <v>0</v>
          </cell>
          <cell r="F30">
            <v>0</v>
          </cell>
          <cell r="K30">
            <v>0</v>
          </cell>
          <cell r="L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T30">
            <v>0</v>
          </cell>
        </row>
        <row r="31">
          <cell r="B31" t="str">
            <v>Gas Licuado</v>
          </cell>
          <cell r="C31">
            <v>0</v>
          </cell>
          <cell r="F31">
            <v>0</v>
          </cell>
          <cell r="K31">
            <v>0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T31">
            <v>0</v>
          </cell>
        </row>
        <row r="32">
          <cell r="B32" t="str">
            <v>Motonafta Total</v>
          </cell>
          <cell r="C32">
            <v>0</v>
          </cell>
          <cell r="F32">
            <v>0</v>
          </cell>
          <cell r="K32">
            <v>0</v>
          </cell>
          <cell r="L32">
            <v>0</v>
          </cell>
          <cell r="M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</row>
        <row r="33">
          <cell r="B33" t="str">
            <v>Kerosene y Aerokerosene</v>
          </cell>
          <cell r="C33">
            <v>0</v>
          </cell>
          <cell r="F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</row>
        <row r="34">
          <cell r="B34" t="str">
            <v>Diesel Oil + Gas Oil</v>
          </cell>
          <cell r="C34">
            <v>0</v>
          </cell>
          <cell r="F34">
            <v>0</v>
          </cell>
          <cell r="K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</row>
        <row r="35">
          <cell r="B35" t="str">
            <v>Fuel Oil</v>
          </cell>
          <cell r="C35">
            <v>0</v>
          </cell>
          <cell r="F35">
            <v>0</v>
          </cell>
          <cell r="K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</row>
        <row r="36">
          <cell r="B36" t="str">
            <v>Carbón Residual</v>
          </cell>
          <cell r="C36">
            <v>0</v>
          </cell>
          <cell r="F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Q36">
            <v>0</v>
          </cell>
          <cell r="R36">
            <v>0</v>
          </cell>
          <cell r="T36">
            <v>0</v>
          </cell>
        </row>
        <row r="37">
          <cell r="B37" t="str">
            <v>No Energético</v>
          </cell>
          <cell r="C37">
            <v>0</v>
          </cell>
          <cell r="F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0</v>
          </cell>
        </row>
        <row r="38">
          <cell r="B38" t="str">
            <v>Gas de Coqueria</v>
          </cell>
          <cell r="C38">
            <v>0</v>
          </cell>
          <cell r="F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T38">
            <v>0</v>
          </cell>
        </row>
        <row r="39">
          <cell r="B39" t="str">
            <v>Gas de Alto Horno</v>
          </cell>
          <cell r="C39">
            <v>0</v>
          </cell>
          <cell r="F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T39">
            <v>0</v>
          </cell>
        </row>
        <row r="40">
          <cell r="B40" t="str">
            <v>Coque de Carbón</v>
          </cell>
          <cell r="C40">
            <v>0</v>
          </cell>
          <cell r="F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T40">
            <v>0</v>
          </cell>
        </row>
        <row r="41">
          <cell r="B41" t="str">
            <v>Carbón de Leña</v>
          </cell>
          <cell r="C41">
            <v>0</v>
          </cell>
          <cell r="F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T41">
            <v>0</v>
          </cell>
        </row>
        <row r="42">
          <cell r="B42" t="str">
            <v>TOTAL II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C43" t="str">
            <v>E N E R G I A   P R I M A R I A   +   S E C U N D A R I A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L44" t="str">
            <v>BALANCE DE TRANSFORMACION</v>
          </cell>
        </row>
        <row r="45">
          <cell r="I45" t="str">
            <v>ENERGIA PRIMARIA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 t="str">
            <v>POBLACION</v>
          </cell>
        </row>
        <row r="46">
          <cell r="H46" t="str">
            <v>INSUMOS</v>
          </cell>
          <cell r="I46" t="str">
            <v>ENERGIA SECUNDARIA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37829564</v>
          </cell>
        </row>
        <row r="47">
          <cell r="I47" t="str">
            <v>TOTAL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I48" t="str">
            <v>PRODUCCION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I49" t="str">
            <v>PERDIDAS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iedades_gas"/>
      <sheetName val="Unidades_Energia"/>
      <sheetName val="Constantes fisico-Quimicas"/>
      <sheetName val="Energy_Facts"/>
      <sheetName val="Prop_Alcanos(Perry)"/>
      <sheetName val="Propiedades Gases"/>
      <sheetName val="Costo_energía"/>
      <sheetName val="Prod_CO2"/>
      <sheetName val="Gráfico1"/>
      <sheetName val="Gráfico2"/>
      <sheetName val="Gráfico3"/>
      <sheetName val="Gráfico4"/>
      <sheetName val="Gasto_Cocción"/>
      <sheetName val="Costo_comp"/>
      <sheetName val="Gasto_calefaccion"/>
      <sheetName val="US_gas Price"/>
      <sheetName val="energy Content"/>
      <sheetName val="Poder_calorifico"/>
      <sheetName val="Gas_nat_Economia"/>
      <sheetName val="Cons_gas"/>
      <sheetName val="Cons_elec"/>
      <sheetName val="Combustible"/>
      <sheetName val="solar"/>
      <sheetName val="Worl_energy_reserves"/>
      <sheetName val="SE_conversion"/>
      <sheetName val="Hoja2"/>
      <sheetName val="Sub_mult_un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>
        <row r="15">
          <cell r="M15">
            <v>5.8</v>
          </cell>
        </row>
        <row r="16">
          <cell r="AP16">
            <v>10</v>
          </cell>
        </row>
        <row r="17">
          <cell r="AH17">
            <v>1.7820000000000003</v>
          </cell>
        </row>
      </sheetData>
      <sheetData sheetId="14">
        <row r="15">
          <cell r="T15">
            <v>850</v>
          </cell>
          <cell r="AG15">
            <v>14.5</v>
          </cell>
        </row>
        <row r="16">
          <cell r="AG16">
            <v>38</v>
          </cell>
        </row>
        <row r="17">
          <cell r="U17">
            <v>449.99999999999881</v>
          </cell>
        </row>
      </sheetData>
      <sheetData sheetId="15"/>
      <sheetData sheetId="16"/>
      <sheetData sheetId="17">
        <row r="1">
          <cell r="G1">
            <v>1.1627777777777778E-3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unsam.edu.a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bae.com/2007/08/28/334279-el-tope-gente-que-puede-viajar-parada-colectivo/" TargetMode="External"/><Relationship Id="rId2" Type="http://schemas.openxmlformats.org/officeDocument/2006/relationships/hyperlink" Target="https://en.wikipedia.org/wiki/Energy_efficiency_in_transport" TargetMode="External"/><Relationship Id="rId1" Type="http://schemas.openxmlformats.org/officeDocument/2006/relationships/hyperlink" Target="https://es.wikipedia.org/wiki/Colectivos_de_Buenos_Aires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6"/>
  <sheetViews>
    <sheetView tabSelected="1" zoomScale="60" zoomScaleNormal="60" workbookViewId="0">
      <selection activeCell="F16" sqref="F16"/>
    </sheetView>
  </sheetViews>
  <sheetFormatPr baseColWidth="10" defaultColWidth="11.53515625" defaultRowHeight="12.45"/>
  <cols>
    <col min="1" max="1" width="33.23046875" style="49" customWidth="1"/>
    <col min="2" max="2" width="24.23046875" style="49" customWidth="1"/>
    <col min="3" max="3" width="11.53515625" style="49"/>
    <col min="4" max="4" width="14.765625" style="49" bestFit="1" customWidth="1"/>
    <col min="5" max="5" width="12.53515625" style="49" customWidth="1"/>
    <col min="6" max="6" width="10.23046875" style="49" customWidth="1"/>
    <col min="7" max="7" width="29.53515625" style="49" customWidth="1"/>
    <col min="8" max="8" width="27" style="49" customWidth="1"/>
    <col min="9" max="9" width="24.23046875" style="49" customWidth="1"/>
    <col min="10" max="10" width="16.3828125" style="49" customWidth="1"/>
    <col min="11" max="11" width="16.53515625" style="49" customWidth="1"/>
    <col min="12" max="12" width="13.765625" style="49" customWidth="1"/>
    <col min="13" max="13" width="16.53515625" style="49" bestFit="1" customWidth="1"/>
    <col min="14" max="14" width="9.53515625" style="49" customWidth="1"/>
    <col min="15" max="15" width="10.765625" style="49" customWidth="1"/>
    <col min="16" max="16" width="15.765625" style="49" customWidth="1"/>
    <col min="17" max="17" width="10.765625" style="49" customWidth="1"/>
    <col min="18" max="18" width="12.23046875" style="49" customWidth="1"/>
    <col min="19" max="19" width="15.53515625" style="49" customWidth="1"/>
    <col min="20" max="20" width="9.53515625" style="49" customWidth="1"/>
    <col min="21" max="21" width="11.4609375" style="49" customWidth="1"/>
    <col min="22" max="22" width="13.4609375" style="49" customWidth="1"/>
    <col min="23" max="23" width="11.53515625" style="49" customWidth="1"/>
    <col min="24" max="24" width="7.765625" style="49" customWidth="1"/>
    <col min="25" max="25" width="16.23046875" style="19" customWidth="1"/>
    <col min="26" max="27" width="11.53515625" style="19" customWidth="1"/>
    <col min="28" max="29" width="17.53515625" style="19" customWidth="1"/>
    <col min="30" max="30" width="11.53515625" style="19" customWidth="1"/>
    <col min="31" max="31" width="33.23046875" style="49" customWidth="1"/>
    <col min="32" max="32" width="24.23046875" style="49" customWidth="1"/>
    <col min="33" max="33" width="11.53515625" style="49"/>
    <col min="34" max="34" width="16" style="49" customWidth="1"/>
    <col min="35" max="35" width="11.4609375" style="49" customWidth="1"/>
    <col min="36" max="36" width="26.3046875" style="49" customWidth="1"/>
    <col min="37" max="37" width="14.69140625" style="49" customWidth="1"/>
    <col min="38" max="38" width="14.53515625" style="49" customWidth="1"/>
    <col min="39" max="39" width="13.07421875" style="49" customWidth="1"/>
    <col min="40" max="40" width="14.15234375" style="49" customWidth="1"/>
    <col min="41" max="16384" width="11.53515625" style="49"/>
  </cols>
  <sheetData>
    <row r="1" spans="1:55" ht="23.6" customHeight="1" thickBot="1">
      <c r="A1" s="790" t="s">
        <v>630</v>
      </c>
      <c r="B1" s="791">
        <v>9</v>
      </c>
      <c r="C1" s="684" t="s">
        <v>44</v>
      </c>
      <c r="D1" s="685"/>
      <c r="E1" s="685"/>
      <c r="F1" s="685"/>
      <c r="G1" s="685"/>
      <c r="H1" s="686"/>
      <c r="K1" s="574" t="s">
        <v>532</v>
      </c>
    </row>
    <row r="2" spans="1:55" ht="22.75" customHeight="1">
      <c r="A2" s="790" t="s">
        <v>534</v>
      </c>
      <c r="B2" s="673" t="s">
        <v>624</v>
      </c>
      <c r="C2" s="473"/>
      <c r="D2" s="672"/>
      <c r="E2" s="672"/>
      <c r="F2" s="672"/>
      <c r="G2" s="672"/>
      <c r="H2" s="672"/>
      <c r="I2" s="779" t="s">
        <v>173</v>
      </c>
      <c r="J2" s="779"/>
      <c r="K2" s="780" t="s">
        <v>174</v>
      </c>
      <c r="Y2" s="49"/>
      <c r="Z2" s="49"/>
      <c r="AA2" s="49"/>
      <c r="AB2" s="49"/>
      <c r="AC2" s="49"/>
      <c r="AD2" s="49"/>
    </row>
    <row r="3" spans="1:55" ht="20.6" thickBot="1">
      <c r="A3" s="50"/>
      <c r="C3" s="229"/>
      <c r="D3" s="229" t="s">
        <v>159</v>
      </c>
      <c r="E3" s="229"/>
      <c r="F3" s="229"/>
      <c r="G3" s="229"/>
      <c r="H3" s="51"/>
      <c r="I3" s="779" t="s">
        <v>175</v>
      </c>
      <c r="J3" s="779"/>
      <c r="K3" s="780" t="s">
        <v>176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73"/>
      <c r="AK3" s="472" t="s">
        <v>472</v>
      </c>
      <c r="AL3" s="473"/>
      <c r="AM3" s="472" t="s">
        <v>472</v>
      </c>
      <c r="AN3" s="473"/>
      <c r="AO3" s="473"/>
    </row>
    <row r="4" spans="1:55" ht="18" thickBot="1">
      <c r="A4" s="50"/>
      <c r="B4" s="19"/>
      <c r="C4" s="51"/>
      <c r="D4" s="51"/>
      <c r="E4" s="772" t="s">
        <v>169</v>
      </c>
      <c r="F4" s="773"/>
      <c r="G4" s="283" t="s">
        <v>169</v>
      </c>
      <c r="H4" s="284"/>
      <c r="I4" s="283" t="s">
        <v>169</v>
      </c>
      <c r="J4" s="283"/>
      <c r="K4" s="284"/>
      <c r="L4" s="285"/>
      <c r="M4" s="283" t="s">
        <v>169</v>
      </c>
      <c r="N4" s="284"/>
      <c r="O4" s="285"/>
      <c r="P4" s="283" t="s">
        <v>169</v>
      </c>
      <c r="Q4" s="284"/>
      <c r="R4" s="285"/>
      <c r="S4" s="283" t="s">
        <v>169</v>
      </c>
      <c r="T4" s="284"/>
      <c r="U4" s="285"/>
      <c r="V4" s="283" t="s">
        <v>169</v>
      </c>
      <c r="W4" s="284"/>
      <c r="X4" s="285"/>
      <c r="Y4" s="283" t="s">
        <v>169</v>
      </c>
      <c r="Z4" s="284"/>
      <c r="AA4" s="284"/>
      <c r="AB4" s="285"/>
      <c r="AC4" s="283" t="s">
        <v>169</v>
      </c>
      <c r="AD4" s="284"/>
      <c r="AE4" s="285"/>
      <c r="AF4" s="283" t="s">
        <v>169</v>
      </c>
      <c r="AG4" s="284"/>
      <c r="AH4" s="283" t="s">
        <v>169</v>
      </c>
      <c r="AI4" s="284"/>
      <c r="AJ4" s="475" t="s">
        <v>473</v>
      </c>
      <c r="AK4" s="474">
        <v>0.29699999999999999</v>
      </c>
      <c r="AL4" s="474">
        <v>0.20200000000000001</v>
      </c>
      <c r="AM4" s="474">
        <v>0.26700000000000002</v>
      </c>
      <c r="AN4" s="474"/>
      <c r="AO4" s="473"/>
    </row>
    <row r="5" spans="1:55" ht="18" thickBot="1">
      <c r="A5" s="85" t="s">
        <v>45</v>
      </c>
      <c r="B5" s="22"/>
      <c r="C5" s="87" t="s">
        <v>10</v>
      </c>
      <c r="D5" s="88"/>
      <c r="E5" s="774" t="s">
        <v>167</v>
      </c>
      <c r="F5" s="775"/>
      <c r="G5" s="88" t="s">
        <v>46</v>
      </c>
      <c r="H5" s="777">
        <v>67</v>
      </c>
      <c r="I5" s="20"/>
      <c r="J5" s="20"/>
      <c r="K5" s="282"/>
      <c r="L5" s="54"/>
      <c r="M5" s="679" t="s">
        <v>115</v>
      </c>
      <c r="N5" s="680"/>
      <c r="O5" s="680"/>
      <c r="P5" s="680"/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680"/>
      <c r="AB5" s="680"/>
      <c r="AC5" s="680"/>
      <c r="AD5" s="681"/>
      <c r="AE5" s="682" t="s">
        <v>116</v>
      </c>
      <c r="AF5" s="683"/>
      <c r="AG5" s="683"/>
      <c r="AH5" s="683"/>
      <c r="AI5" s="683"/>
      <c r="AJ5" s="683"/>
      <c r="AK5" s="466" t="s">
        <v>270</v>
      </c>
      <c r="AL5" s="467" t="s">
        <v>270</v>
      </c>
      <c r="AM5" s="467" t="s">
        <v>270</v>
      </c>
      <c r="AN5" s="468" t="s">
        <v>270</v>
      </c>
      <c r="AO5" s="473"/>
      <c r="AZ5" s="54"/>
      <c r="BA5" s="54"/>
      <c r="BB5" s="54"/>
      <c r="BC5" s="54"/>
    </row>
    <row r="6" spans="1:55" ht="53.15" thickBot="1">
      <c r="A6" s="86" t="s">
        <v>47</v>
      </c>
      <c r="B6" s="84"/>
      <c r="C6" s="90" t="s">
        <v>48</v>
      </c>
      <c r="D6" s="34"/>
      <c r="E6" s="776" t="s">
        <v>168</v>
      </c>
      <c r="F6" s="775"/>
      <c r="G6" s="116" t="s">
        <v>49</v>
      </c>
      <c r="H6" s="756">
        <v>2</v>
      </c>
      <c r="I6" s="277" t="s">
        <v>12</v>
      </c>
      <c r="J6" s="664"/>
      <c r="K6" s="278" t="str">
        <f>+C5</f>
        <v xml:space="preserve">Autor o Resposable: </v>
      </c>
      <c r="L6" s="279" t="s">
        <v>40</v>
      </c>
      <c r="M6" s="270" t="s">
        <v>4</v>
      </c>
      <c r="N6" s="270" t="s">
        <v>0</v>
      </c>
      <c r="O6" s="270" t="s">
        <v>9</v>
      </c>
      <c r="P6" s="270" t="str">
        <f>A63</f>
        <v>Refrigeración Aire Acond.</v>
      </c>
      <c r="Q6" s="270" t="str">
        <f>A64</f>
        <v>Calefacción Electr.</v>
      </c>
      <c r="R6" s="271" t="s">
        <v>5</v>
      </c>
      <c r="S6" s="270" t="s">
        <v>25</v>
      </c>
      <c r="T6" s="270" t="s">
        <v>15</v>
      </c>
      <c r="U6" s="270" t="s">
        <v>11</v>
      </c>
      <c r="V6" s="271" t="s">
        <v>7</v>
      </c>
      <c r="W6" s="271" t="s">
        <v>1</v>
      </c>
      <c r="X6" s="271" t="s">
        <v>42</v>
      </c>
      <c r="Y6" s="271" t="s">
        <v>2</v>
      </c>
      <c r="Z6" s="271" t="s">
        <v>26</v>
      </c>
      <c r="AA6" s="271" t="s">
        <v>114</v>
      </c>
      <c r="AB6" s="271" t="s">
        <v>535</v>
      </c>
      <c r="AC6" s="271" t="s">
        <v>170</v>
      </c>
      <c r="AD6" s="274" t="str">
        <f>+A86</f>
        <v>Todo Electicidad</v>
      </c>
      <c r="AE6" s="271" t="str">
        <f>+A80</f>
        <v>Cocción</v>
      </c>
      <c r="AF6" s="271" t="str">
        <f>+A81</f>
        <v>ACS</v>
      </c>
      <c r="AG6" s="271" t="str">
        <f>+A82</f>
        <v>Piloto</v>
      </c>
      <c r="AH6" s="271" t="str">
        <f>+A83</f>
        <v>Calef.</v>
      </c>
      <c r="AI6" s="275" t="str">
        <f>+A87</f>
        <v>Total Gas</v>
      </c>
      <c r="AJ6" s="465" t="str">
        <f>+A85</f>
        <v>Consumo Totales Gas+Electricidad</v>
      </c>
      <c r="AK6" s="469" t="s">
        <v>283</v>
      </c>
      <c r="AL6" s="271" t="s">
        <v>23</v>
      </c>
      <c r="AM6" s="271" t="s">
        <v>447</v>
      </c>
      <c r="AN6" s="470" t="s">
        <v>29</v>
      </c>
      <c r="AO6" s="473"/>
      <c r="AZ6" s="54"/>
      <c r="BA6" s="54"/>
      <c r="BB6" s="54"/>
      <c r="BC6" s="54"/>
    </row>
    <row r="7" spans="1:55" ht="35.6" thickBot="1">
      <c r="A7" s="86" t="s">
        <v>50</v>
      </c>
      <c r="B7" s="84"/>
      <c r="C7" s="91" t="s">
        <v>51</v>
      </c>
      <c r="D7" s="92"/>
      <c r="E7" s="774">
        <v>42401</v>
      </c>
      <c r="F7" s="775"/>
      <c r="G7" s="92" t="s">
        <v>52</v>
      </c>
      <c r="H7" s="778" t="s">
        <v>53</v>
      </c>
      <c r="I7" s="276">
        <f>H6</f>
        <v>2</v>
      </c>
      <c r="J7" s="665"/>
      <c r="K7" s="280" t="str">
        <f>+E5</f>
        <v>su Nombre</v>
      </c>
      <c r="L7" s="281">
        <f>H5</f>
        <v>67</v>
      </c>
      <c r="M7" s="272">
        <f>+C60</f>
        <v>730</v>
      </c>
      <c r="N7" s="272">
        <f>+C61</f>
        <v>263.56436688311692</v>
      </c>
      <c r="O7" s="273">
        <f>+C62</f>
        <v>84.120333333333349</v>
      </c>
      <c r="P7" s="272">
        <f>+C63</f>
        <v>409.2</v>
      </c>
      <c r="Q7" s="272">
        <f>C64</f>
        <v>0</v>
      </c>
      <c r="R7" s="272">
        <f>+C65</f>
        <v>0</v>
      </c>
      <c r="S7" s="272">
        <f>+C66</f>
        <v>18.25</v>
      </c>
      <c r="T7" s="272">
        <f>+C68</f>
        <v>226.11750000000001</v>
      </c>
      <c r="U7" s="272">
        <f>+C67</f>
        <v>25.184999999999995</v>
      </c>
      <c r="V7" s="272">
        <f>+C69</f>
        <v>248.346</v>
      </c>
      <c r="W7" s="272">
        <f>+C71</f>
        <v>114.97499999999999</v>
      </c>
      <c r="X7" s="272">
        <f>+C72</f>
        <v>0</v>
      </c>
      <c r="Y7" s="272">
        <f>+C70</f>
        <v>1.825</v>
      </c>
      <c r="Z7" s="272">
        <f>+C74</f>
        <v>1.2166666666666668</v>
      </c>
      <c r="AA7" s="272">
        <f>+C72</f>
        <v>0</v>
      </c>
      <c r="AB7" s="272">
        <f>+C644</f>
        <v>0</v>
      </c>
      <c r="AC7" s="272">
        <f>+C75</f>
        <v>0</v>
      </c>
      <c r="AD7" s="268">
        <f>+SUM(M7:AC7)</f>
        <v>2122.7998668831169</v>
      </c>
      <c r="AE7" s="272">
        <f>+C80</f>
        <v>1263.0557333333293</v>
      </c>
      <c r="AF7" s="272">
        <f>+C81</f>
        <v>3601.0064999999895</v>
      </c>
      <c r="AG7" s="272">
        <f>+C82</f>
        <v>1776.1721249999944</v>
      </c>
      <c r="AH7" s="272">
        <f>+C83</f>
        <v>8596.4568083333052</v>
      </c>
      <c r="AI7" s="269">
        <f>+SUM(AE7:AH7)</f>
        <v>15236.691166666618</v>
      </c>
      <c r="AJ7" s="575">
        <f>+AD7+AI7</f>
        <v>17359.491033549733</v>
      </c>
      <c r="AK7" s="576">
        <f>+AD7/1000</f>
        <v>2.1227998668831169</v>
      </c>
      <c r="AL7" s="577">
        <f>+AI7/1000</f>
        <v>15.236691166666619</v>
      </c>
      <c r="AM7" s="578">
        <f>+Transporte!N21+Transporte!N22</f>
        <v>29.878112254024998</v>
      </c>
      <c r="AN7" s="579">
        <f>SUM(AK7:AM7)</f>
        <v>47.237603287574736</v>
      </c>
      <c r="AO7" s="473"/>
      <c r="AZ7" s="54"/>
      <c r="BA7" s="54"/>
      <c r="BB7" s="54"/>
      <c r="BC7" s="54"/>
    </row>
    <row r="8" spans="1:55" ht="35.6" thickBot="1">
      <c r="A8" s="53" t="s">
        <v>45</v>
      </c>
      <c r="B8" s="22"/>
      <c r="C8" s="93" t="s">
        <v>54</v>
      </c>
      <c r="D8" s="94"/>
      <c r="E8" s="781" t="s">
        <v>156</v>
      </c>
      <c r="F8" s="782" t="s">
        <v>56</v>
      </c>
      <c r="G8" s="783" t="s">
        <v>57</v>
      </c>
      <c r="H8" s="784" t="s">
        <v>187</v>
      </c>
      <c r="I8" s="54"/>
      <c r="J8" s="54"/>
      <c r="K8" s="20"/>
      <c r="L8" s="21"/>
      <c r="M8" s="21"/>
      <c r="N8" s="19"/>
      <c r="O8" s="20"/>
      <c r="P8" s="20"/>
      <c r="Q8" s="20"/>
      <c r="R8" s="20"/>
      <c r="S8" s="19"/>
      <c r="T8" s="20"/>
      <c r="V8" s="20"/>
      <c r="W8" s="20"/>
      <c r="X8" s="20"/>
      <c r="Y8" s="20"/>
      <c r="Z8" s="20"/>
      <c r="AA8" s="20"/>
      <c r="AB8" s="20"/>
      <c r="AC8" s="20"/>
      <c r="AD8" s="22"/>
      <c r="AE8" s="22"/>
      <c r="AF8" s="22"/>
      <c r="AG8" s="20"/>
      <c r="AH8" s="20"/>
      <c r="AI8" s="19"/>
      <c r="AJ8" s="580" t="s">
        <v>257</v>
      </c>
      <c r="AK8" s="581" t="str">
        <f>+Transporte!$P$18</f>
        <v>Tn(CO2)/año</v>
      </c>
      <c r="AL8" s="582" t="str">
        <f>+Transporte!$P$18</f>
        <v>Tn(CO2)/año</v>
      </c>
      <c r="AM8" s="582" t="str">
        <f>+Transporte!$P$18</f>
        <v>Tn(CO2)/año</v>
      </c>
      <c r="AN8" s="583" t="str">
        <f>+Transporte!$P$18</f>
        <v>Tn(CO2)/año</v>
      </c>
      <c r="AO8" s="473"/>
      <c r="AZ8" s="54"/>
      <c r="BA8" s="54"/>
      <c r="BB8" s="54"/>
      <c r="BC8" s="54"/>
    </row>
    <row r="9" spans="1:55" ht="20.6" thickBot="1">
      <c r="B9" s="22"/>
      <c r="C9" s="97" t="s">
        <v>155</v>
      </c>
      <c r="D9" s="98"/>
      <c r="E9" s="786" t="str">
        <f>+"Consumos eléctricos anuales"&amp;" "&amp;E8&amp;" en "&amp;H8&amp;"(MWh)="&amp;ROUND(C86/1000,2)</f>
        <v>Consumos eléctricos anuales Casa en Su Lugar(MWh)=2.12</v>
      </c>
      <c r="F9" s="786"/>
      <c r="G9" s="787"/>
      <c r="H9" s="786"/>
      <c r="I9" s="54"/>
      <c r="J9" s="54"/>
      <c r="K9" s="20"/>
      <c r="L9" s="21"/>
      <c r="M9" s="21"/>
      <c r="N9" s="19"/>
      <c r="O9" s="20"/>
      <c r="P9" s="20"/>
      <c r="Q9" s="20"/>
      <c r="R9" s="20"/>
      <c r="S9" s="19"/>
      <c r="T9" s="20"/>
      <c r="V9" s="20"/>
      <c r="W9" s="20"/>
      <c r="X9" s="20"/>
      <c r="Z9" s="20"/>
      <c r="AA9" s="20"/>
      <c r="AD9" s="22"/>
      <c r="AE9" s="22"/>
      <c r="AF9" s="22"/>
      <c r="AG9" s="20"/>
      <c r="AH9" s="20"/>
      <c r="AI9" s="20"/>
      <c r="AJ9" s="584"/>
      <c r="AK9" s="471">
        <f>+AK7*AK4</f>
        <v>0.63047156046428565</v>
      </c>
      <c r="AL9" s="471">
        <f t="shared" ref="AL9:AM9" si="0">+AL7*AL4</f>
        <v>3.0778116156666573</v>
      </c>
      <c r="AM9" s="471">
        <f t="shared" si="0"/>
        <v>7.9774559718246749</v>
      </c>
      <c r="AN9" s="585">
        <f>SUM(AK9:AM9)</f>
        <v>11.685739147955617</v>
      </c>
      <c r="AO9" s="473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 ht="18.899999999999999" thickBot="1">
      <c r="A10" s="53" t="str">
        <f>+"Consumos gas+Eletrc.+Tran. anuales"&amp;" "&amp;E8&amp;" en "&amp;H8&amp;"(MWh)="&amp;ROUND(H81/1000,2)</f>
        <v>Consumos gas+Eletrc.+Tran. anuales Casa en Su Lugar(MWh)=17.36</v>
      </c>
      <c r="B10" s="55"/>
      <c r="C10" s="51"/>
      <c r="D10" s="95"/>
      <c r="E10" s="788" t="str">
        <f>+"Consumos gas+Eletrc. anuales"&amp;" "&amp;E8&amp;" en "&amp;H8&amp;"(MWh)="&amp;ROUND(H81/1000,2)</f>
        <v>Consumos gas+Eletrc. anuales Casa en Su Lugar(MWh)=17.36</v>
      </c>
      <c r="F10" s="789"/>
      <c r="G10" s="789"/>
      <c r="H10" s="789"/>
      <c r="I10" s="20"/>
      <c r="J10" s="20"/>
      <c r="K10" s="20"/>
      <c r="L10" s="21"/>
      <c r="M10" s="21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Z10" s="20"/>
      <c r="AA10" s="20"/>
      <c r="AD10" s="20"/>
      <c r="AE10" s="20"/>
      <c r="AF10" s="20"/>
      <c r="AG10" s="20"/>
      <c r="AH10" s="20"/>
      <c r="AI10" s="20"/>
      <c r="AJ10" s="473"/>
      <c r="AK10" s="473"/>
      <c r="AL10" s="473"/>
      <c r="AM10" s="473"/>
      <c r="AN10" s="473"/>
      <c r="AO10" s="473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</row>
    <row r="11" spans="1:55" ht="15" thickBot="1">
      <c r="A11" s="99" t="str">
        <f>+C9&amp;"de "&amp;E8&amp;" de "&amp;H5&amp;" mts.2"&amp;" en "&amp;H8&amp;" con "&amp;H6&amp;" personas adultas"</f>
        <v>Consumos Electricos de Casa de 67 mts.2 en Su Lugar con 2 personas adultas</v>
      </c>
      <c r="B11" s="100"/>
      <c r="C11" s="89"/>
      <c r="D11" s="89"/>
      <c r="E11" s="785"/>
      <c r="F11" s="19"/>
      <c r="G11" s="19"/>
      <c r="H11" s="19"/>
      <c r="I11" s="96"/>
      <c r="J11" s="96"/>
      <c r="K11" s="20"/>
      <c r="L11" s="21"/>
      <c r="M11" s="21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55" ht="15.45">
      <c r="A12" s="105"/>
      <c r="B12" s="106"/>
      <c r="C12" s="57" t="s">
        <v>58</v>
      </c>
      <c r="D12" s="57" t="s">
        <v>58</v>
      </c>
      <c r="E12" s="57" t="s">
        <v>59</v>
      </c>
      <c r="F12" s="57" t="s">
        <v>60</v>
      </c>
      <c r="G12" s="57" t="s">
        <v>61</v>
      </c>
      <c r="H12" s="107" t="s">
        <v>61</v>
      </c>
      <c r="I12" s="108"/>
      <c r="J12" s="20"/>
      <c r="K12" s="20"/>
      <c r="L12" s="21"/>
      <c r="M12" s="21"/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55" ht="80.25" customHeight="1">
      <c r="A13" s="109"/>
      <c r="B13" s="115" t="s">
        <v>62</v>
      </c>
      <c r="C13" s="115" t="s">
        <v>63</v>
      </c>
      <c r="D13" s="115" t="s">
        <v>64</v>
      </c>
      <c r="E13" s="115" t="s">
        <v>65</v>
      </c>
      <c r="F13" s="115" t="s">
        <v>66</v>
      </c>
      <c r="G13" s="115" t="s">
        <v>66</v>
      </c>
      <c r="H13" s="115" t="s">
        <v>67</v>
      </c>
      <c r="I13" s="286" t="s">
        <v>68</v>
      </c>
      <c r="J13" s="666"/>
      <c r="K13" s="287" t="s">
        <v>171</v>
      </c>
      <c r="L13" s="21"/>
      <c r="M13" s="21"/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55" ht="35.15">
      <c r="A14" s="111" t="s">
        <v>69</v>
      </c>
      <c r="B14" s="761" t="s">
        <v>70</v>
      </c>
      <c r="C14" s="762"/>
      <c r="D14" s="102"/>
      <c r="E14" s="118"/>
      <c r="F14" s="102"/>
      <c r="G14" s="103"/>
      <c r="H14" s="104"/>
      <c r="I14" s="573" t="s">
        <v>489</v>
      </c>
      <c r="J14" s="667" t="s">
        <v>618</v>
      </c>
      <c r="K14" s="2"/>
      <c r="L14" s="21"/>
      <c r="M14" s="21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</row>
    <row r="15" spans="1:55" ht="33" customHeight="1" thickBot="1">
      <c r="A15" s="119" t="s">
        <v>108</v>
      </c>
      <c r="B15" s="117" t="s">
        <v>621</v>
      </c>
      <c r="C15" s="229"/>
      <c r="D15" s="223">
        <f>+F15/E15</f>
        <v>83.333333333333329</v>
      </c>
      <c r="E15" s="223">
        <v>24</v>
      </c>
      <c r="F15" s="760">
        <v>2000</v>
      </c>
      <c r="G15" s="59">
        <f>F15/1000</f>
        <v>2</v>
      </c>
      <c r="H15" s="223">
        <f>+G15*365</f>
        <v>730</v>
      </c>
      <c r="J15" s="756" t="s">
        <v>619</v>
      </c>
      <c r="K15" s="757" t="s">
        <v>172</v>
      </c>
      <c r="L15" s="21"/>
      <c r="M15" s="21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</row>
    <row r="16" spans="1:55" ht="18" thickBot="1">
      <c r="A16" s="119" t="s">
        <v>109</v>
      </c>
      <c r="B16" s="117" t="s">
        <v>71</v>
      </c>
      <c r="C16" s="229"/>
      <c r="D16" s="223">
        <f>+F16/E16</f>
        <v>0</v>
      </c>
      <c r="E16" s="223">
        <v>25</v>
      </c>
      <c r="F16" s="760">
        <v>0</v>
      </c>
      <c r="G16" s="59">
        <f t="shared" ref="G16:G51" si="1">F16/1000</f>
        <v>0</v>
      </c>
      <c r="H16" s="223">
        <f t="shared" ref="H16:H51" si="2">+G16*365</f>
        <v>0</v>
      </c>
      <c r="I16" s="110"/>
      <c r="J16" s="756" t="s">
        <v>619</v>
      </c>
      <c r="K16" s="757" t="s">
        <v>172</v>
      </c>
      <c r="L16" s="21"/>
      <c r="M16" s="21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</row>
    <row r="17" spans="1:55" ht="18" thickBot="1">
      <c r="A17" s="119" t="s">
        <v>109</v>
      </c>
      <c r="B17" s="117" t="s">
        <v>72</v>
      </c>
      <c r="C17" s="241"/>
      <c r="D17" s="223">
        <f>+F17/E17</f>
        <v>0</v>
      </c>
      <c r="E17" s="223">
        <v>25</v>
      </c>
      <c r="F17" s="760">
        <v>0</v>
      </c>
      <c r="G17" s="59">
        <f t="shared" ref="G17" si="3">F17/1000</f>
        <v>0</v>
      </c>
      <c r="H17" s="223">
        <f t="shared" ref="H17" si="4">+G17*365</f>
        <v>0</v>
      </c>
      <c r="I17" s="110"/>
      <c r="J17" s="756" t="s">
        <v>619</v>
      </c>
      <c r="K17" s="757" t="s">
        <v>172</v>
      </c>
      <c r="L17" s="21"/>
      <c r="M17" s="21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</row>
    <row r="18" spans="1:55" ht="25.4" customHeight="1" thickBot="1">
      <c r="A18" s="119" t="s">
        <v>0</v>
      </c>
      <c r="B18" s="117" t="s">
        <v>72</v>
      </c>
      <c r="C18" s="229">
        <v>1800</v>
      </c>
      <c r="D18" s="223"/>
      <c r="E18" s="224"/>
      <c r="F18" s="760">
        <v>272.09415584415586</v>
      </c>
      <c r="G18" s="59">
        <f t="shared" si="1"/>
        <v>0.27209415584415586</v>
      </c>
      <c r="H18" s="223">
        <f t="shared" si="2"/>
        <v>99.31436688311689</v>
      </c>
      <c r="I18" s="110"/>
      <c r="J18" s="756" t="s">
        <v>619</v>
      </c>
      <c r="K18" s="757" t="s">
        <v>172</v>
      </c>
      <c r="L18" s="21"/>
      <c r="M18" s="21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</row>
    <row r="19" spans="1:55" ht="25.4" customHeight="1" thickBot="1">
      <c r="A19" s="119" t="s">
        <v>545</v>
      </c>
      <c r="B19" s="117" t="s">
        <v>546</v>
      </c>
      <c r="C19" s="229"/>
      <c r="D19" s="223"/>
      <c r="E19" s="224"/>
      <c r="F19" s="760">
        <v>450</v>
      </c>
      <c r="G19" s="59">
        <f t="shared" ref="G19" si="5">F19/1000</f>
        <v>0.45</v>
      </c>
      <c r="H19" s="223">
        <f t="shared" ref="H19" si="6">+G19*365</f>
        <v>164.25</v>
      </c>
      <c r="I19" s="110"/>
      <c r="J19" s="756" t="s">
        <v>619</v>
      </c>
      <c r="K19" s="757" t="s">
        <v>172</v>
      </c>
      <c r="L19" s="21"/>
      <c r="M19" s="21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</row>
    <row r="20" spans="1:55" ht="42.65" customHeight="1" thickBot="1">
      <c r="A20" s="119" t="s">
        <v>73</v>
      </c>
      <c r="B20" s="117" t="s">
        <v>74</v>
      </c>
      <c r="C20" s="230">
        <f>5*12</f>
        <v>60</v>
      </c>
      <c r="D20" s="764">
        <v>38.333333333333336</v>
      </c>
      <c r="E20" s="765">
        <v>5</v>
      </c>
      <c r="F20" s="226">
        <f>+D20*E20</f>
        <v>191.66666666666669</v>
      </c>
      <c r="G20" s="59">
        <f t="shared" si="1"/>
        <v>0.19166666666666668</v>
      </c>
      <c r="H20" s="223">
        <f t="shared" si="2"/>
        <v>69.958333333333343</v>
      </c>
      <c r="I20" s="110"/>
      <c r="J20" s="756" t="s">
        <v>619</v>
      </c>
      <c r="K20" s="757" t="s">
        <v>172</v>
      </c>
      <c r="L20" s="21"/>
      <c r="M20" s="21"/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</row>
    <row r="21" spans="1:55" ht="28.4" customHeight="1" thickBot="1">
      <c r="A21" s="119" t="s">
        <v>75</v>
      </c>
      <c r="B21" s="117" t="s">
        <v>76</v>
      </c>
      <c r="C21" s="230">
        <f>14*12</f>
        <v>168</v>
      </c>
      <c r="D21" s="764">
        <v>129.33333333333334</v>
      </c>
      <c r="E21" s="765">
        <v>0.3</v>
      </c>
      <c r="F21" s="225">
        <f t="shared" ref="F21:F38" si="7">+D21*E21</f>
        <v>38.800000000000004</v>
      </c>
      <c r="G21" s="59">
        <f t="shared" si="1"/>
        <v>3.8800000000000001E-2</v>
      </c>
      <c r="H21" s="223">
        <f t="shared" si="2"/>
        <v>14.162000000000001</v>
      </c>
      <c r="I21" s="110"/>
      <c r="J21" s="756" t="s">
        <v>619</v>
      </c>
      <c r="K21" s="757" t="s">
        <v>172</v>
      </c>
      <c r="L21" s="21"/>
      <c r="M21" s="21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</row>
    <row r="22" spans="1:55" ht="16.399999999999999" customHeight="1" thickBot="1">
      <c r="A22" s="119" t="s">
        <v>77</v>
      </c>
      <c r="B22" s="117"/>
      <c r="C22" s="231"/>
      <c r="D22" s="764">
        <v>120</v>
      </c>
      <c r="E22" s="766">
        <v>2</v>
      </c>
      <c r="F22" s="226">
        <f t="shared" si="7"/>
        <v>240</v>
      </c>
      <c r="G22" s="59">
        <f t="shared" si="1"/>
        <v>0.24</v>
      </c>
      <c r="H22" s="223">
        <f>+G22*155</f>
        <v>37.199999999999996</v>
      </c>
      <c r="I22" s="110"/>
      <c r="J22" s="756" t="s">
        <v>619</v>
      </c>
      <c r="K22" s="757" t="s">
        <v>172</v>
      </c>
      <c r="L22" s="21"/>
      <c r="M22" s="21"/>
      <c r="N22" s="21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</row>
    <row r="23" spans="1:55" ht="16.399999999999999" customHeight="1" thickBot="1">
      <c r="A23" s="119" t="s">
        <v>184</v>
      </c>
      <c r="B23" s="117"/>
      <c r="C23" s="231"/>
      <c r="D23" s="764">
        <v>1200</v>
      </c>
      <c r="E23" s="766">
        <v>0</v>
      </c>
      <c r="F23" s="228">
        <f t="shared" si="7"/>
        <v>0</v>
      </c>
      <c r="G23" s="59">
        <f t="shared" si="1"/>
        <v>0</v>
      </c>
      <c r="H23" s="223">
        <f t="shared" ref="H23:H25" si="8">+G23*155</f>
        <v>0</v>
      </c>
      <c r="I23" s="110"/>
      <c r="J23" s="756" t="s">
        <v>619</v>
      </c>
      <c r="K23" s="757" t="s">
        <v>172</v>
      </c>
      <c r="L23" s="21"/>
      <c r="M23" s="21"/>
      <c r="N23" s="21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</row>
    <row r="24" spans="1:55" ht="15.9" customHeight="1" thickBot="1">
      <c r="A24" s="119" t="s">
        <v>185</v>
      </c>
      <c r="B24" s="117"/>
      <c r="C24" s="231"/>
      <c r="D24" s="764">
        <v>1200</v>
      </c>
      <c r="E24" s="766">
        <v>0</v>
      </c>
      <c r="F24" s="228">
        <f t="shared" ref="F24" si="9">+D24*E24</f>
        <v>0</v>
      </c>
      <c r="G24" s="59">
        <f t="shared" ref="G24" si="10">F24/1000</f>
        <v>0</v>
      </c>
      <c r="H24" s="223">
        <f t="shared" si="8"/>
        <v>0</v>
      </c>
      <c r="I24" s="110"/>
      <c r="J24" s="756" t="s">
        <v>619</v>
      </c>
      <c r="K24" s="757" t="s">
        <v>172</v>
      </c>
      <c r="L24" s="21"/>
      <c r="M24" s="21"/>
      <c r="N24" s="21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</row>
    <row r="25" spans="1:55" ht="18" thickBot="1">
      <c r="A25" s="119" t="s">
        <v>186</v>
      </c>
      <c r="B25" s="117"/>
      <c r="C25" s="231"/>
      <c r="D25" s="764">
        <v>1200</v>
      </c>
      <c r="E25" s="766">
        <v>2</v>
      </c>
      <c r="F25" s="228">
        <f t="shared" si="7"/>
        <v>2400</v>
      </c>
      <c r="G25" s="59">
        <f t="shared" si="1"/>
        <v>2.4</v>
      </c>
      <c r="H25" s="223">
        <f t="shared" si="8"/>
        <v>372</v>
      </c>
      <c r="I25" s="110"/>
      <c r="J25" s="756" t="s">
        <v>619</v>
      </c>
      <c r="K25" s="757" t="s">
        <v>172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</row>
    <row r="26" spans="1:55" ht="18" thickBot="1">
      <c r="A26" s="119" t="s">
        <v>182</v>
      </c>
      <c r="B26" s="117"/>
      <c r="C26" s="231">
        <v>2000</v>
      </c>
      <c r="D26" s="764">
        <v>2500</v>
      </c>
      <c r="E26" s="766">
        <v>0</v>
      </c>
      <c r="F26" s="228">
        <f t="shared" si="7"/>
        <v>0</v>
      </c>
      <c r="G26" s="59">
        <f t="shared" si="1"/>
        <v>0</v>
      </c>
      <c r="H26" s="223">
        <f>+G26*175</f>
        <v>0</v>
      </c>
      <c r="I26" s="110"/>
      <c r="J26" s="756" t="s">
        <v>619</v>
      </c>
      <c r="K26" s="757" t="s">
        <v>172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</row>
    <row r="27" spans="1:55" ht="18" thickBot="1">
      <c r="A27" s="119" t="s">
        <v>183</v>
      </c>
      <c r="B27" s="117"/>
      <c r="C27" s="231">
        <v>2000</v>
      </c>
      <c r="D27" s="764">
        <v>2500</v>
      </c>
      <c r="E27" s="766">
        <v>0</v>
      </c>
      <c r="F27" s="228">
        <f t="shared" ref="F27" si="11">+D27*E27</f>
        <v>0</v>
      </c>
      <c r="G27" s="59">
        <f t="shared" ref="G27" si="12">F27/1000</f>
        <v>0</v>
      </c>
      <c r="H27" s="223">
        <f t="shared" ref="H27:H30" si="13">+G27*175</f>
        <v>0</v>
      </c>
      <c r="I27" s="110"/>
      <c r="J27" s="756" t="s">
        <v>619</v>
      </c>
      <c r="K27" s="757" t="s">
        <v>172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</row>
    <row r="28" spans="1:55" ht="18" thickBot="1">
      <c r="A28" s="119" t="s">
        <v>487</v>
      </c>
      <c r="B28" s="117"/>
      <c r="C28" s="231">
        <v>2000</v>
      </c>
      <c r="D28" s="764">
        <v>2500</v>
      </c>
      <c r="E28" s="766">
        <v>0</v>
      </c>
      <c r="F28" s="228">
        <f t="shared" ref="F28:F29" si="14">+D28*E28</f>
        <v>0</v>
      </c>
      <c r="G28" s="59">
        <f t="shared" ref="G28:G29" si="15">F28/1000</f>
        <v>0</v>
      </c>
      <c r="H28" s="223">
        <f t="shared" si="13"/>
        <v>0</v>
      </c>
      <c r="I28" s="110"/>
      <c r="J28" s="756" t="s">
        <v>619</v>
      </c>
      <c r="K28" s="757" t="s">
        <v>172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</row>
    <row r="29" spans="1:55" ht="18" thickBot="1">
      <c r="A29" s="119" t="s">
        <v>488</v>
      </c>
      <c r="B29" s="117"/>
      <c r="C29" s="231">
        <v>2000</v>
      </c>
      <c r="D29" s="764">
        <v>2500</v>
      </c>
      <c r="E29" s="766">
        <v>0</v>
      </c>
      <c r="F29" s="228">
        <f t="shared" si="14"/>
        <v>0</v>
      </c>
      <c r="G29" s="59">
        <f t="shared" si="15"/>
        <v>0</v>
      </c>
      <c r="H29" s="223">
        <f t="shared" si="13"/>
        <v>0</v>
      </c>
      <c r="I29" s="110"/>
      <c r="J29" s="756" t="s">
        <v>619</v>
      </c>
      <c r="K29" s="757" t="s">
        <v>172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</row>
    <row r="30" spans="1:55" ht="18" thickBot="1">
      <c r="A30" s="119" t="s">
        <v>3</v>
      </c>
      <c r="B30" s="117"/>
      <c r="C30" s="231"/>
      <c r="D30" s="764">
        <v>1200</v>
      </c>
      <c r="E30" s="766">
        <v>0</v>
      </c>
      <c r="F30" s="228">
        <f t="shared" si="7"/>
        <v>0</v>
      </c>
      <c r="G30" s="59">
        <f t="shared" si="1"/>
        <v>0</v>
      </c>
      <c r="H30" s="223">
        <f t="shared" si="13"/>
        <v>0</v>
      </c>
      <c r="I30" s="110"/>
      <c r="J30" s="756" t="s">
        <v>619</v>
      </c>
      <c r="K30" s="757" t="s">
        <v>172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20"/>
      <c r="Z30" s="20"/>
      <c r="AA30" s="20"/>
      <c r="AB30" s="20"/>
      <c r="AC30" s="20"/>
      <c r="AD30" s="20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</row>
    <row r="31" spans="1:55" ht="18" thickBot="1">
      <c r="A31" s="119" t="s">
        <v>27</v>
      </c>
      <c r="B31" s="117"/>
      <c r="C31" s="231"/>
      <c r="D31" s="764">
        <v>900</v>
      </c>
      <c r="E31" s="766">
        <v>0</v>
      </c>
      <c r="F31" s="228">
        <f t="shared" si="7"/>
        <v>0</v>
      </c>
      <c r="G31" s="59">
        <f t="shared" si="1"/>
        <v>0</v>
      </c>
      <c r="H31" s="223">
        <f t="shared" si="2"/>
        <v>0</v>
      </c>
      <c r="I31" s="110"/>
      <c r="J31" s="756" t="s">
        <v>619</v>
      </c>
      <c r="K31" s="757" t="s">
        <v>172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20"/>
      <c r="Z31" s="20"/>
      <c r="AA31" s="20"/>
      <c r="AB31" s="20"/>
      <c r="AC31" s="20"/>
      <c r="AD31" s="20"/>
    </row>
    <row r="32" spans="1:55" ht="18" thickBot="1">
      <c r="A32" s="119" t="s">
        <v>78</v>
      </c>
      <c r="B32" s="117"/>
      <c r="C32" s="231"/>
      <c r="D32" s="764">
        <v>750</v>
      </c>
      <c r="E32" s="766">
        <v>0</v>
      </c>
      <c r="F32" s="228">
        <f t="shared" si="7"/>
        <v>0</v>
      </c>
      <c r="G32" s="59">
        <f t="shared" si="1"/>
        <v>0</v>
      </c>
      <c r="H32" s="223">
        <f t="shared" si="2"/>
        <v>0</v>
      </c>
      <c r="I32" s="110"/>
      <c r="J32" s="756" t="s">
        <v>619</v>
      </c>
      <c r="K32" s="757" t="s">
        <v>172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20"/>
      <c r="Z32" s="20"/>
      <c r="AA32" s="20"/>
      <c r="AB32" s="20"/>
      <c r="AC32" s="20"/>
      <c r="AD32" s="20"/>
    </row>
    <row r="33" spans="1:30" ht="18" thickBot="1">
      <c r="A33" s="119" t="s">
        <v>79</v>
      </c>
      <c r="B33" s="117"/>
      <c r="C33" s="231">
        <v>25</v>
      </c>
      <c r="D33" s="764">
        <v>25</v>
      </c>
      <c r="E33" s="766">
        <v>2</v>
      </c>
      <c r="F33" s="769">
        <f>+D33*E33</f>
        <v>50</v>
      </c>
      <c r="G33" s="59">
        <f t="shared" si="1"/>
        <v>0.05</v>
      </c>
      <c r="H33" s="223">
        <f t="shared" si="2"/>
        <v>18.25</v>
      </c>
      <c r="I33" s="110"/>
      <c r="J33" s="756" t="s">
        <v>619</v>
      </c>
      <c r="K33" s="757" t="s">
        <v>172</v>
      </c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20"/>
      <c r="Z33" s="20"/>
      <c r="AA33" s="20"/>
      <c r="AB33" s="20"/>
      <c r="AC33" s="20"/>
      <c r="AD33" s="20"/>
    </row>
    <row r="34" spans="1:30" ht="15.65" customHeight="1" thickBot="1">
      <c r="A34" s="119" t="s">
        <v>80</v>
      </c>
      <c r="B34" s="117"/>
      <c r="C34" s="231">
        <v>12</v>
      </c>
      <c r="D34" s="764">
        <v>12</v>
      </c>
      <c r="E34" s="765">
        <v>2</v>
      </c>
      <c r="F34" s="769">
        <f t="shared" si="7"/>
        <v>24</v>
      </c>
      <c r="G34" s="59">
        <f t="shared" si="1"/>
        <v>2.4E-2</v>
      </c>
      <c r="H34" s="223">
        <f t="shared" si="2"/>
        <v>8.76</v>
      </c>
      <c r="I34" s="110"/>
      <c r="J34" s="756" t="s">
        <v>619</v>
      </c>
      <c r="K34" s="757" t="s">
        <v>172</v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20"/>
      <c r="Z34" s="20"/>
      <c r="AA34" s="20"/>
      <c r="AB34" s="20"/>
      <c r="AC34" s="20"/>
      <c r="AD34" s="20"/>
    </row>
    <row r="35" spans="1:30" ht="15.65" customHeight="1" thickBot="1">
      <c r="A35" s="119" t="s">
        <v>81</v>
      </c>
      <c r="B35" s="117"/>
      <c r="C35" s="231">
        <v>160</v>
      </c>
      <c r="D35" s="764">
        <v>154</v>
      </c>
      <c r="E35" s="765">
        <v>0</v>
      </c>
      <c r="F35" s="770">
        <f t="shared" si="7"/>
        <v>0</v>
      </c>
      <c r="G35" s="59">
        <f t="shared" si="1"/>
        <v>0</v>
      </c>
      <c r="H35" s="223">
        <f t="shared" si="2"/>
        <v>0</v>
      </c>
      <c r="I35" s="110"/>
      <c r="J35" s="756" t="s">
        <v>619</v>
      </c>
      <c r="K35" s="757" t="s">
        <v>172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20"/>
      <c r="Z35" s="20"/>
      <c r="AA35" s="20"/>
      <c r="AB35" s="20"/>
      <c r="AC35" s="20"/>
      <c r="AD35" s="20"/>
    </row>
    <row r="36" spans="1:30" ht="15.65" customHeight="1" thickBot="1">
      <c r="A36" s="119" t="s">
        <v>82</v>
      </c>
      <c r="B36" s="117" t="s">
        <v>83</v>
      </c>
      <c r="C36" s="231">
        <v>50</v>
      </c>
      <c r="D36" s="764">
        <v>100</v>
      </c>
      <c r="E36" s="765">
        <v>3.3333333333333333E-2</v>
      </c>
      <c r="F36" s="770">
        <f t="shared" si="7"/>
        <v>3.3333333333333335</v>
      </c>
      <c r="G36" s="59">
        <f t="shared" si="1"/>
        <v>3.3333333333333335E-3</v>
      </c>
      <c r="H36" s="223">
        <f t="shared" si="2"/>
        <v>1.2166666666666668</v>
      </c>
      <c r="I36" s="110"/>
      <c r="J36" s="756" t="s">
        <v>619</v>
      </c>
      <c r="K36" s="757" t="s">
        <v>172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20"/>
      <c r="Z36" s="20"/>
      <c r="AA36" s="20"/>
      <c r="AB36" s="20"/>
      <c r="AC36" s="20"/>
      <c r="AD36" s="20"/>
    </row>
    <row r="37" spans="1:30" ht="15.65" customHeight="1" thickBot="1">
      <c r="A37" s="119" t="s">
        <v>84</v>
      </c>
      <c r="B37" s="117"/>
      <c r="C37" s="231">
        <v>50</v>
      </c>
      <c r="D37" s="764">
        <v>500</v>
      </c>
      <c r="E37" s="765">
        <v>8.3333333333333329E-2</v>
      </c>
      <c r="F37" s="770">
        <f t="shared" si="7"/>
        <v>41.666666666666664</v>
      </c>
      <c r="G37" s="59">
        <f t="shared" si="1"/>
        <v>4.1666666666666664E-2</v>
      </c>
      <c r="H37" s="223">
        <f t="shared" si="2"/>
        <v>15.208333333333332</v>
      </c>
      <c r="I37" s="110"/>
      <c r="J37" s="756" t="s">
        <v>619</v>
      </c>
      <c r="K37" s="757" t="s">
        <v>172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20"/>
      <c r="Z37" s="20"/>
      <c r="AA37" s="20"/>
      <c r="AB37" s="20"/>
      <c r="AC37" s="20"/>
      <c r="AD37" s="20"/>
    </row>
    <row r="38" spans="1:30" ht="15.65" customHeight="1" thickBot="1">
      <c r="A38" s="119" t="s">
        <v>85</v>
      </c>
      <c r="B38" s="117"/>
      <c r="C38" s="231">
        <v>20</v>
      </c>
      <c r="D38" s="764">
        <v>12</v>
      </c>
      <c r="E38" s="765">
        <v>24</v>
      </c>
      <c r="F38" s="770">
        <f t="shared" si="7"/>
        <v>288</v>
      </c>
      <c r="G38" s="59">
        <f t="shared" si="1"/>
        <v>0.28799999999999998</v>
      </c>
      <c r="H38" s="223">
        <f t="shared" si="2"/>
        <v>105.11999999999999</v>
      </c>
      <c r="I38" s="110"/>
      <c r="J38" s="756" t="s">
        <v>619</v>
      </c>
      <c r="K38" s="757" t="s">
        <v>172</v>
      </c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20"/>
      <c r="Z38" s="20"/>
      <c r="AA38" s="20"/>
      <c r="AB38" s="20"/>
      <c r="AC38" s="20"/>
      <c r="AD38" s="20"/>
    </row>
    <row r="39" spans="1:30" ht="18" thickBot="1">
      <c r="A39" s="119" t="s">
        <v>86</v>
      </c>
      <c r="B39" s="117" t="s">
        <v>87</v>
      </c>
      <c r="C39" s="231">
        <v>70</v>
      </c>
      <c r="D39" s="764">
        <v>90</v>
      </c>
      <c r="E39" s="765">
        <v>2</v>
      </c>
      <c r="F39" s="769">
        <f>+D39*E39</f>
        <v>180</v>
      </c>
      <c r="G39" s="59">
        <f t="shared" si="1"/>
        <v>0.18</v>
      </c>
      <c r="H39" s="223">
        <f t="shared" si="2"/>
        <v>65.7</v>
      </c>
      <c r="I39" s="110"/>
      <c r="J39" s="756" t="s">
        <v>619</v>
      </c>
      <c r="K39" s="757" t="s">
        <v>172</v>
      </c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20"/>
      <c r="Z39" s="20"/>
      <c r="AA39" s="20"/>
      <c r="AB39" s="20"/>
      <c r="AC39" s="20"/>
      <c r="AD39" s="20"/>
    </row>
    <row r="40" spans="1:30" ht="18" thickBot="1">
      <c r="A40" s="119" t="s">
        <v>88</v>
      </c>
      <c r="B40" s="117" t="s">
        <v>89</v>
      </c>
      <c r="C40" s="231">
        <v>0.35</v>
      </c>
      <c r="D40" s="764">
        <v>0.35</v>
      </c>
      <c r="E40" s="765">
        <v>24</v>
      </c>
      <c r="F40" s="769">
        <f>+D40*E40</f>
        <v>8.3999999999999986</v>
      </c>
      <c r="G40" s="59">
        <f t="shared" si="1"/>
        <v>8.3999999999999977E-3</v>
      </c>
      <c r="H40" s="223">
        <f t="shared" si="2"/>
        <v>3.0659999999999994</v>
      </c>
      <c r="I40" s="110"/>
      <c r="J40" s="756" t="s">
        <v>619</v>
      </c>
      <c r="K40" s="757" t="s">
        <v>172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20"/>
      <c r="Z40" s="20"/>
      <c r="AA40" s="20"/>
      <c r="AB40" s="20"/>
      <c r="AC40" s="20"/>
      <c r="AD40" s="20"/>
    </row>
    <row r="41" spans="1:30" ht="18" thickBot="1">
      <c r="A41" s="119" t="s">
        <v>90</v>
      </c>
      <c r="B41" s="117" t="s">
        <v>91</v>
      </c>
      <c r="C41" s="231">
        <v>15</v>
      </c>
      <c r="D41" s="764">
        <v>15</v>
      </c>
      <c r="E41" s="765">
        <v>0.5</v>
      </c>
      <c r="F41" s="769">
        <f>+D41*E41</f>
        <v>7.5</v>
      </c>
      <c r="G41" s="59">
        <f t="shared" si="1"/>
        <v>7.4999999999999997E-3</v>
      </c>
      <c r="H41" s="223">
        <f t="shared" si="2"/>
        <v>2.7374999999999998</v>
      </c>
      <c r="I41" s="110"/>
      <c r="J41" s="756" t="s">
        <v>619</v>
      </c>
      <c r="K41" s="757" t="s">
        <v>172</v>
      </c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20"/>
      <c r="Z41" s="20"/>
      <c r="AA41" s="20"/>
      <c r="AB41" s="20"/>
      <c r="AC41" s="20"/>
      <c r="AD41" s="20"/>
    </row>
    <row r="42" spans="1:30" ht="18" thickBot="1">
      <c r="A42" s="119" t="s">
        <v>92</v>
      </c>
      <c r="B42" s="117"/>
      <c r="C42" s="231">
        <v>5</v>
      </c>
      <c r="D42" s="764">
        <v>5</v>
      </c>
      <c r="E42" s="765">
        <v>24</v>
      </c>
      <c r="F42" s="769">
        <f>+D42*E42*5</f>
        <v>600</v>
      </c>
      <c r="G42" s="59">
        <f t="shared" si="1"/>
        <v>0.6</v>
      </c>
      <c r="H42" s="223">
        <f t="shared" si="2"/>
        <v>219</v>
      </c>
      <c r="I42" s="110"/>
      <c r="J42" s="756" t="s">
        <v>619</v>
      </c>
      <c r="K42" s="757" t="s">
        <v>172</v>
      </c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20"/>
      <c r="Z42" s="20"/>
      <c r="AA42" s="20"/>
      <c r="AB42" s="20"/>
      <c r="AC42" s="20"/>
      <c r="AD42" s="20"/>
    </row>
    <row r="43" spans="1:30" ht="18" thickBot="1">
      <c r="A43" s="119" t="s">
        <v>110</v>
      </c>
      <c r="B43" s="117"/>
      <c r="C43" s="231">
        <v>3</v>
      </c>
      <c r="D43" s="764">
        <v>3</v>
      </c>
      <c r="E43" s="765">
        <v>24</v>
      </c>
      <c r="F43" s="769">
        <f t="shared" ref="F43:F46" si="16">+D43*E43</f>
        <v>72</v>
      </c>
      <c r="G43" s="59">
        <f t="shared" si="1"/>
        <v>7.1999999999999995E-2</v>
      </c>
      <c r="H43" s="223">
        <f t="shared" si="2"/>
        <v>26.279999999999998</v>
      </c>
      <c r="I43" s="110"/>
      <c r="J43" s="756" t="s">
        <v>619</v>
      </c>
      <c r="K43" s="757" t="s">
        <v>172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20"/>
      <c r="Z43" s="20"/>
      <c r="AA43" s="20"/>
      <c r="AB43" s="20"/>
      <c r="AC43" s="20"/>
      <c r="AD43" s="20"/>
    </row>
    <row r="44" spans="1:30" ht="18" thickBot="1">
      <c r="A44" s="119" t="s">
        <v>93</v>
      </c>
      <c r="B44" s="117"/>
      <c r="C44" s="231">
        <v>12</v>
      </c>
      <c r="D44" s="764">
        <v>6</v>
      </c>
      <c r="E44" s="765">
        <v>24</v>
      </c>
      <c r="F44" s="769">
        <f t="shared" si="16"/>
        <v>144</v>
      </c>
      <c r="G44" s="59">
        <f t="shared" si="1"/>
        <v>0.14399999999999999</v>
      </c>
      <c r="H44" s="223">
        <f t="shared" si="2"/>
        <v>52.559999999999995</v>
      </c>
      <c r="I44" s="110"/>
      <c r="J44" s="756" t="s">
        <v>619</v>
      </c>
      <c r="K44" s="757" t="s">
        <v>172</v>
      </c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20"/>
      <c r="Z44" s="20"/>
      <c r="AA44" s="20"/>
      <c r="AB44" s="20"/>
      <c r="AC44" s="20"/>
      <c r="AD44" s="20"/>
    </row>
    <row r="45" spans="1:30" ht="18" thickBot="1">
      <c r="A45" s="119" t="s">
        <v>2</v>
      </c>
      <c r="B45" s="117"/>
      <c r="C45" s="231">
        <v>300</v>
      </c>
      <c r="D45" s="764">
        <v>300</v>
      </c>
      <c r="E45" s="765">
        <f>1/60</f>
        <v>1.6666666666666666E-2</v>
      </c>
      <c r="F45" s="769">
        <f t="shared" si="16"/>
        <v>5</v>
      </c>
      <c r="G45" s="59">
        <f t="shared" si="1"/>
        <v>5.0000000000000001E-3</v>
      </c>
      <c r="H45" s="223">
        <f t="shared" si="2"/>
        <v>1.825</v>
      </c>
      <c r="I45" s="110"/>
      <c r="J45" s="756" t="s">
        <v>619</v>
      </c>
      <c r="K45" s="757" t="s">
        <v>172</v>
      </c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20"/>
      <c r="Z45" s="20"/>
      <c r="AA45" s="20"/>
      <c r="AB45" s="20"/>
      <c r="AC45" s="20"/>
      <c r="AD45" s="20"/>
    </row>
    <row r="46" spans="1:30" ht="18" thickBot="1">
      <c r="A46" s="119" t="s">
        <v>1</v>
      </c>
      <c r="B46" s="117"/>
      <c r="C46" s="231">
        <v>1000</v>
      </c>
      <c r="D46" s="764">
        <v>900</v>
      </c>
      <c r="E46" s="765">
        <v>0.35</v>
      </c>
      <c r="F46" s="769">
        <f t="shared" si="16"/>
        <v>315</v>
      </c>
      <c r="G46" s="59">
        <f t="shared" si="1"/>
        <v>0.315</v>
      </c>
      <c r="H46" s="223">
        <f t="shared" si="2"/>
        <v>114.97499999999999</v>
      </c>
      <c r="I46" s="110"/>
      <c r="J46" s="756" t="s">
        <v>619</v>
      </c>
      <c r="K46" s="757" t="s">
        <v>172</v>
      </c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20"/>
      <c r="Z46" s="20"/>
      <c r="AA46" s="20"/>
      <c r="AB46" s="20"/>
      <c r="AC46" s="20"/>
      <c r="AD46" s="20"/>
    </row>
    <row r="47" spans="1:30" ht="18" thickBot="1">
      <c r="A47" s="119" t="s">
        <v>94</v>
      </c>
      <c r="B47" s="117"/>
      <c r="C47" s="231"/>
      <c r="D47" s="764">
        <v>0</v>
      </c>
      <c r="E47" s="765">
        <v>25</v>
      </c>
      <c r="F47" s="769"/>
      <c r="G47" s="59">
        <f t="shared" si="1"/>
        <v>0</v>
      </c>
      <c r="H47" s="223">
        <f t="shared" si="2"/>
        <v>0</v>
      </c>
      <c r="I47" s="112"/>
      <c r="J47" s="756" t="s">
        <v>619</v>
      </c>
      <c r="K47" s="757" t="s">
        <v>172</v>
      </c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20"/>
      <c r="Z47" s="20"/>
      <c r="AA47" s="20"/>
      <c r="AB47" s="20"/>
      <c r="AC47" s="20"/>
      <c r="AD47" s="20"/>
    </row>
    <row r="48" spans="1:30" ht="18" thickBot="1">
      <c r="A48" s="119" t="s">
        <v>95</v>
      </c>
      <c r="B48" s="117"/>
      <c r="C48" s="231"/>
      <c r="D48" s="764">
        <v>0</v>
      </c>
      <c r="E48" s="765">
        <v>1500</v>
      </c>
      <c r="F48" s="769"/>
      <c r="G48" s="59">
        <f t="shared" si="1"/>
        <v>0</v>
      </c>
      <c r="H48" s="223">
        <f t="shared" si="2"/>
        <v>0</v>
      </c>
      <c r="I48" s="110"/>
      <c r="J48" s="756" t="s">
        <v>619</v>
      </c>
      <c r="K48" s="757" t="s">
        <v>172</v>
      </c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20"/>
      <c r="Z48" s="20"/>
      <c r="AA48" s="20"/>
      <c r="AB48" s="20"/>
      <c r="AC48" s="20"/>
      <c r="AD48" s="20"/>
    </row>
    <row r="49" spans="1:39" ht="18" thickBot="1">
      <c r="A49" s="119" t="s">
        <v>96</v>
      </c>
      <c r="B49" s="117"/>
      <c r="C49" s="231">
        <v>200</v>
      </c>
      <c r="D49" s="764">
        <v>200</v>
      </c>
      <c r="E49" s="766">
        <f>1/60</f>
        <v>1.6666666666666666E-2</v>
      </c>
      <c r="F49" s="769">
        <f>+D49*E49</f>
        <v>3.3333333333333335</v>
      </c>
      <c r="G49" s="59">
        <f t="shared" si="1"/>
        <v>3.3333333333333335E-3</v>
      </c>
      <c r="H49" s="223">
        <f t="shared" si="2"/>
        <v>1.2166666666666668</v>
      </c>
      <c r="I49" s="110"/>
      <c r="J49" s="756" t="s">
        <v>619</v>
      </c>
      <c r="K49" s="757" t="s">
        <v>172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20"/>
      <c r="Z49" s="20"/>
      <c r="AA49" s="20"/>
      <c r="AB49" s="20"/>
      <c r="AC49" s="20"/>
      <c r="AD49" s="20"/>
      <c r="AH49" s="19"/>
      <c r="AI49" s="19"/>
      <c r="AJ49" s="19"/>
      <c r="AK49" s="19"/>
      <c r="AL49" s="19"/>
      <c r="AM49" s="19"/>
    </row>
    <row r="50" spans="1:39" ht="17.600000000000001">
      <c r="A50" s="119" t="s">
        <v>97</v>
      </c>
      <c r="B50" s="117"/>
      <c r="C50" s="231"/>
      <c r="D50" s="764">
        <v>0</v>
      </c>
      <c r="E50" s="765">
        <v>24</v>
      </c>
      <c r="F50" s="769"/>
      <c r="G50" s="59">
        <f t="shared" si="1"/>
        <v>0</v>
      </c>
      <c r="H50" s="223">
        <f t="shared" si="2"/>
        <v>0</v>
      </c>
      <c r="I50" s="110"/>
      <c r="J50" s="758"/>
      <c r="K50" s="757" t="s">
        <v>172</v>
      </c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20"/>
      <c r="Z50" s="20"/>
      <c r="AA50" s="20"/>
      <c r="AB50" s="20"/>
      <c r="AC50" s="20"/>
      <c r="AD50" s="20"/>
      <c r="AH50" s="19"/>
      <c r="AI50" s="19"/>
      <c r="AJ50" s="19"/>
      <c r="AK50" s="19"/>
      <c r="AL50" s="19"/>
      <c r="AM50" s="19"/>
    </row>
    <row r="51" spans="1:39" ht="17.600000000000001">
      <c r="A51" s="122" t="s">
        <v>533</v>
      </c>
      <c r="B51" s="117"/>
      <c r="C51" s="232"/>
      <c r="D51" s="767">
        <v>0</v>
      </c>
      <c r="E51" s="768">
        <v>24</v>
      </c>
      <c r="F51" s="771"/>
      <c r="G51" s="120">
        <f t="shared" si="1"/>
        <v>0</v>
      </c>
      <c r="H51" s="227">
        <f t="shared" si="2"/>
        <v>0</v>
      </c>
      <c r="I51" s="123"/>
      <c r="J51" s="759"/>
      <c r="K51" s="757" t="s">
        <v>172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20"/>
      <c r="Z51" s="20"/>
      <c r="AA51" s="20"/>
      <c r="AB51" s="20"/>
      <c r="AC51" s="20"/>
      <c r="AD51" s="20"/>
      <c r="AH51" s="19"/>
      <c r="AI51" s="19"/>
      <c r="AJ51" s="19"/>
      <c r="AK51" s="19"/>
      <c r="AL51" s="19"/>
      <c r="AM51" s="19"/>
    </row>
    <row r="52" spans="1:39" ht="18" thickBot="1">
      <c r="A52" s="247" t="s">
        <v>170</v>
      </c>
      <c r="B52" s="248"/>
      <c r="C52" s="249"/>
      <c r="D52" s="767">
        <v>0</v>
      </c>
      <c r="E52" s="768">
        <v>24</v>
      </c>
      <c r="F52" s="771"/>
      <c r="G52" s="120">
        <f t="shared" ref="G52" si="17">F52/1000</f>
        <v>0</v>
      </c>
      <c r="H52" s="227">
        <f t="shared" ref="H52" si="18">+G52*365</f>
        <v>0</v>
      </c>
      <c r="I52" s="250"/>
      <c r="J52" s="759"/>
      <c r="K52" s="757" t="s">
        <v>172</v>
      </c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20"/>
      <c r="Z52" s="20"/>
      <c r="AA52" s="20"/>
      <c r="AB52" s="20"/>
      <c r="AC52" s="20"/>
      <c r="AD52" s="20"/>
      <c r="AH52" s="19"/>
      <c r="AI52" s="19"/>
      <c r="AJ52" s="19"/>
      <c r="AK52" s="19"/>
      <c r="AL52" s="19"/>
      <c r="AM52" s="19"/>
    </row>
    <row r="53" spans="1:39" ht="15" thickBot="1">
      <c r="A53" s="58" t="s">
        <v>98</v>
      </c>
      <c r="B53" s="124"/>
      <c r="C53" s="763"/>
      <c r="D53" s="125"/>
      <c r="E53" s="126"/>
      <c r="F53" s="89"/>
      <c r="G53" s="89"/>
      <c r="H53" s="89"/>
      <c r="I53" s="141" t="s">
        <v>99</v>
      </c>
      <c r="J53" s="140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20"/>
      <c r="Z53" s="20"/>
      <c r="AA53" s="20"/>
      <c r="AB53" s="20"/>
      <c r="AC53" s="20"/>
      <c r="AD53" s="20"/>
      <c r="AH53" s="19"/>
      <c r="AI53" s="19"/>
      <c r="AJ53" s="19"/>
      <c r="AK53" s="19"/>
      <c r="AL53" s="19"/>
      <c r="AM53" s="19"/>
    </row>
    <row r="54" spans="1:39" ht="23.15" thickBot="1">
      <c r="A54" s="113" t="s">
        <v>100</v>
      </c>
      <c r="B54" s="127"/>
      <c r="C54" s="121"/>
      <c r="D54" s="121"/>
      <c r="E54" s="121"/>
      <c r="F54" s="130">
        <f>SUM(F15:F51)</f>
        <v>7334.7941558441553</v>
      </c>
      <c r="G54" s="131">
        <f>SUM(G15:G51)</f>
        <v>7.3347941558441558</v>
      </c>
      <c r="H54" s="132">
        <f>SUM(H15:H51)</f>
        <v>2122.7998668831169</v>
      </c>
      <c r="I54" s="296">
        <f>+(H54-H55)/H55</f>
        <v>5.2454073814138281E-2</v>
      </c>
      <c r="J54" s="668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20"/>
      <c r="Z54" s="20"/>
      <c r="AA54" s="20"/>
      <c r="AB54" s="20"/>
      <c r="AC54" s="20"/>
      <c r="AD54" s="20"/>
      <c r="AH54" s="19"/>
      <c r="AI54" s="19"/>
      <c r="AJ54" s="19"/>
      <c r="AK54" s="19"/>
      <c r="AL54" s="19"/>
      <c r="AM54" s="19"/>
    </row>
    <row r="55" spans="1:39" ht="23.15" thickBot="1">
      <c r="A55" s="91" t="s">
        <v>101</v>
      </c>
      <c r="B55" s="128"/>
      <c r="C55" s="114"/>
      <c r="D55" s="114"/>
      <c r="E55" s="114"/>
      <c r="F55" s="114"/>
      <c r="G55" s="92" t="s">
        <v>102</v>
      </c>
      <c r="H55" s="129">
        <f>+I88</f>
        <v>2017</v>
      </c>
      <c r="I55" s="142"/>
      <c r="J55" s="20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20"/>
      <c r="Z55" s="20"/>
      <c r="AA55" s="20"/>
      <c r="AB55" s="20"/>
      <c r="AC55" s="20"/>
      <c r="AD55" s="20"/>
      <c r="AH55" s="19"/>
      <c r="AI55" s="19"/>
      <c r="AJ55" s="19"/>
      <c r="AK55" s="19"/>
      <c r="AL55" s="19"/>
      <c r="AM55" s="19"/>
    </row>
    <row r="56" spans="1:39" ht="14.6">
      <c r="A56" s="25"/>
      <c r="B56" s="25"/>
      <c r="C56" s="22"/>
      <c r="D56" s="27"/>
      <c r="E56" s="22"/>
      <c r="F56" s="28"/>
      <c r="G56" s="29"/>
      <c r="H56" s="28"/>
      <c r="I56" s="20"/>
      <c r="J56" s="20"/>
      <c r="K56" s="20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20"/>
      <c r="Z56" s="20"/>
      <c r="AA56" s="20"/>
      <c r="AB56" s="20"/>
      <c r="AC56" s="20"/>
      <c r="AD56" s="20"/>
      <c r="AH56" s="19"/>
      <c r="AI56" s="19"/>
      <c r="AJ56" s="19"/>
      <c r="AK56" s="19"/>
      <c r="AL56" s="19"/>
      <c r="AM56" s="19"/>
    </row>
    <row r="57" spans="1:39" ht="15" thickBot="1">
      <c r="A57" s="31"/>
      <c r="B57" s="31"/>
      <c r="C57" s="22"/>
      <c r="D57" s="25"/>
      <c r="E57" s="22"/>
      <c r="F57" s="28"/>
      <c r="G57" s="29"/>
      <c r="H57" s="28"/>
      <c r="I57" s="20"/>
      <c r="J57" s="20"/>
      <c r="K57" s="20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20"/>
      <c r="Z57" s="20"/>
      <c r="AA57" s="20"/>
      <c r="AB57" s="20"/>
      <c r="AC57" s="20"/>
      <c r="AD57" s="20"/>
      <c r="AH57" s="19"/>
      <c r="AI57" s="19"/>
      <c r="AJ57" s="19"/>
      <c r="AK57" s="19"/>
      <c r="AL57" s="19"/>
      <c r="AM57" s="19"/>
    </row>
    <row r="58" spans="1:39" ht="14.6">
      <c r="A58" s="133" t="s">
        <v>111</v>
      </c>
      <c r="B58" s="134" t="s">
        <v>61</v>
      </c>
      <c r="C58" s="134" t="s">
        <v>61</v>
      </c>
      <c r="D58" s="19"/>
      <c r="G58" s="22"/>
      <c r="H58" s="134" t="s">
        <v>61</v>
      </c>
      <c r="I58" s="20"/>
      <c r="J58" s="20"/>
      <c r="K58" s="20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20"/>
      <c r="Z58" s="20"/>
      <c r="AA58" s="20"/>
      <c r="AB58" s="20"/>
      <c r="AC58" s="20"/>
      <c r="AD58" s="20"/>
      <c r="AH58" s="19"/>
      <c r="AI58" s="19"/>
      <c r="AJ58" s="19"/>
      <c r="AK58" s="19"/>
      <c r="AL58" s="19"/>
      <c r="AM58" s="19"/>
    </row>
    <row r="59" spans="1:39" ht="38.15">
      <c r="A59" s="135" t="s">
        <v>103</v>
      </c>
      <c r="B59" s="61" t="str">
        <f>+G13</f>
        <v>Consumo diario</v>
      </c>
      <c r="C59" s="136" t="str">
        <f>+H13</f>
        <v>Consumo Annual [kWh]</v>
      </c>
      <c r="D59" s="19"/>
      <c r="G59" s="38"/>
      <c r="H59" s="136" t="str">
        <f>+C59</f>
        <v>Consumo Annual [kWh]</v>
      </c>
      <c r="I59" s="20"/>
      <c r="J59" s="20"/>
      <c r="K59" s="20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20"/>
      <c r="Z59" s="20"/>
      <c r="AA59" s="20"/>
      <c r="AB59" s="20"/>
      <c r="AC59" s="20"/>
      <c r="AD59" s="20"/>
      <c r="AH59" s="19"/>
      <c r="AI59" s="19"/>
      <c r="AJ59" s="19"/>
      <c r="AK59" s="19"/>
      <c r="AL59" s="19"/>
      <c r="AM59" s="19"/>
    </row>
    <row r="60" spans="1:39" ht="17.600000000000001">
      <c r="A60" s="255" t="s">
        <v>4</v>
      </c>
      <c r="B60" s="256">
        <f>+G15+G16+G17</f>
        <v>2</v>
      </c>
      <c r="C60" s="246">
        <f>+H15+H16+H17</f>
        <v>730</v>
      </c>
      <c r="D60" s="19"/>
      <c r="G60" s="252" t="str">
        <f>A60</f>
        <v>Heladera</v>
      </c>
      <c r="H60" s="253">
        <f t="shared" ref="H60:H74" si="19">C60</f>
        <v>730</v>
      </c>
      <c r="I60" s="20"/>
      <c r="J60" s="20"/>
      <c r="K60" s="20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20"/>
      <c r="Z60" s="20"/>
      <c r="AA60" s="20"/>
      <c r="AB60" s="20"/>
      <c r="AC60" s="20"/>
      <c r="AD60" s="20"/>
      <c r="AH60" s="32"/>
      <c r="AI60" s="32"/>
      <c r="AJ60" s="19"/>
      <c r="AK60" s="19"/>
      <c r="AL60" s="19"/>
      <c r="AM60" s="19"/>
    </row>
    <row r="61" spans="1:39" ht="17.600000000000001">
      <c r="A61" s="255" t="s">
        <v>547</v>
      </c>
      <c r="B61" s="256">
        <f>+G18+G19</f>
        <v>0.72209415584415582</v>
      </c>
      <c r="C61" s="246">
        <f>+H18+H19</f>
        <v>263.56436688311692</v>
      </c>
      <c r="D61" s="19"/>
      <c r="G61" s="252" t="str">
        <f>A61</f>
        <v>Lavarropa (Vaj.)</v>
      </c>
      <c r="H61" s="253">
        <f t="shared" si="19"/>
        <v>263.56436688311692</v>
      </c>
      <c r="I61" s="20"/>
      <c r="J61" s="20"/>
      <c r="K61" s="20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20"/>
      <c r="Z61" s="20"/>
      <c r="AA61" s="20"/>
      <c r="AB61" s="20"/>
      <c r="AC61" s="20"/>
      <c r="AD61" s="20"/>
      <c r="AH61" s="32"/>
      <c r="AI61" s="32"/>
      <c r="AJ61" s="19"/>
      <c r="AK61" s="19"/>
      <c r="AL61" s="19"/>
      <c r="AM61" s="19"/>
    </row>
    <row r="62" spans="1:39" ht="17.600000000000001">
      <c r="A62" s="257" t="s">
        <v>9</v>
      </c>
      <c r="B62" s="256">
        <f>+G20+G21</f>
        <v>0.23046666666666668</v>
      </c>
      <c r="C62" s="246">
        <f>+H20+H21</f>
        <v>84.120333333333349</v>
      </c>
      <c r="D62" s="19"/>
      <c r="G62" s="254" t="str">
        <f>A62</f>
        <v>Iluminacion</v>
      </c>
      <c r="H62" s="253">
        <f t="shared" si="19"/>
        <v>84.120333333333349</v>
      </c>
      <c r="I62" s="20"/>
      <c r="J62" s="20"/>
      <c r="K62" s="20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20"/>
      <c r="Z62" s="20"/>
      <c r="AA62" s="20"/>
      <c r="AB62" s="20"/>
      <c r="AC62" s="20"/>
      <c r="AD62" s="20"/>
      <c r="AH62" s="19"/>
      <c r="AI62" s="19"/>
      <c r="AJ62" s="19"/>
      <c r="AK62" s="19"/>
      <c r="AL62" s="19"/>
      <c r="AM62" s="19"/>
    </row>
    <row r="63" spans="1:39" ht="17.600000000000001">
      <c r="A63" s="255" t="s">
        <v>164</v>
      </c>
      <c r="B63" s="297">
        <f>+G25+G22+G23+G24+G26</f>
        <v>2.6399999999999997</v>
      </c>
      <c r="C63" s="246">
        <f>+H25+H22+H23+H24+H26</f>
        <v>409.2</v>
      </c>
      <c r="D63" s="19"/>
      <c r="G63" s="252" t="str">
        <f>A63</f>
        <v>Refrigeración Aire Acond.</v>
      </c>
      <c r="H63" s="253">
        <f t="shared" si="19"/>
        <v>409.2</v>
      </c>
      <c r="I63" s="20"/>
      <c r="J63" s="20"/>
      <c r="K63" s="20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20"/>
      <c r="Z63" s="20"/>
      <c r="AA63" s="20"/>
      <c r="AB63" s="20"/>
      <c r="AC63" s="20"/>
      <c r="AD63" s="20"/>
      <c r="AH63" s="19"/>
      <c r="AI63" s="19"/>
      <c r="AJ63" s="19"/>
      <c r="AK63" s="19"/>
      <c r="AL63" s="19"/>
      <c r="AM63" s="19"/>
    </row>
    <row r="64" spans="1:39" ht="17.600000000000001">
      <c r="A64" s="255" t="s">
        <v>165</v>
      </c>
      <c r="B64" s="297">
        <f>G26+G27+G28+G29</f>
        <v>0</v>
      </c>
      <c r="C64" s="246">
        <f>H26+H27+H28+H29</f>
        <v>0</v>
      </c>
      <c r="D64" s="19"/>
      <c r="G64" s="252" t="s">
        <v>158</v>
      </c>
      <c r="H64" s="253">
        <f t="shared" si="19"/>
        <v>0</v>
      </c>
      <c r="I64" s="20"/>
      <c r="J64" s="20"/>
      <c r="K64" s="20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20"/>
      <c r="Z64" s="20"/>
      <c r="AA64" s="20"/>
      <c r="AB64" s="20"/>
      <c r="AC64" s="20"/>
      <c r="AD64" s="20"/>
      <c r="AH64" s="19"/>
      <c r="AI64" s="19"/>
      <c r="AJ64" s="19"/>
      <c r="AK64" s="19"/>
      <c r="AL64" s="19"/>
      <c r="AM64" s="19"/>
    </row>
    <row r="65" spans="1:40" ht="17.600000000000001">
      <c r="A65" s="255" t="s">
        <v>5</v>
      </c>
      <c r="B65" s="256">
        <f>+G31</f>
        <v>0</v>
      </c>
      <c r="C65" s="246">
        <f>+H31</f>
        <v>0</v>
      </c>
      <c r="D65" s="19"/>
      <c r="G65" s="252" t="str">
        <f t="shared" ref="G65:G74" si="20">A65</f>
        <v>Microonda</v>
      </c>
      <c r="H65" s="253">
        <f t="shared" si="19"/>
        <v>0</v>
      </c>
      <c r="I65" s="20"/>
      <c r="J65" s="20"/>
      <c r="K65" s="20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20"/>
      <c r="Z65" s="20"/>
      <c r="AA65" s="20"/>
      <c r="AB65" s="20"/>
      <c r="AC65" s="20"/>
      <c r="AD65" s="20"/>
      <c r="AH65" s="29"/>
      <c r="AI65" s="22"/>
      <c r="AJ65" s="19"/>
      <c r="AK65" s="19"/>
      <c r="AL65" s="19"/>
      <c r="AM65" s="19"/>
    </row>
    <row r="66" spans="1:40" ht="17.600000000000001">
      <c r="A66" s="255" t="s">
        <v>25</v>
      </c>
      <c r="B66" s="256">
        <f>+G30+G32+G33</f>
        <v>0.05</v>
      </c>
      <c r="C66" s="246">
        <f>+H30+H32+H33</f>
        <v>18.25</v>
      </c>
      <c r="D66" s="19"/>
      <c r="G66" s="252" t="str">
        <f t="shared" si="20"/>
        <v>Cafetera+Tostadora + batidora</v>
      </c>
      <c r="H66" s="253">
        <f t="shared" si="19"/>
        <v>18.25</v>
      </c>
      <c r="I66" s="20"/>
      <c r="J66" s="20"/>
      <c r="K66" s="20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20"/>
      <c r="Z66" s="20"/>
      <c r="AA66" s="20"/>
      <c r="AB66" s="20"/>
      <c r="AC66" s="20"/>
      <c r="AD66" s="20"/>
      <c r="AH66" s="22"/>
      <c r="AI66" s="22"/>
      <c r="AJ66" s="19"/>
      <c r="AK66" s="19"/>
      <c r="AL66" s="19"/>
      <c r="AM66" s="19"/>
    </row>
    <row r="67" spans="1:40" ht="17.600000000000001">
      <c r="A67" s="255" t="s">
        <v>11</v>
      </c>
      <c r="B67" s="256">
        <f>+G37+G36+G35+G34</f>
        <v>6.9000000000000006E-2</v>
      </c>
      <c r="C67" s="246">
        <f>+H37+H36+H35+H34</f>
        <v>25.184999999999995</v>
      </c>
      <c r="D67" s="19"/>
      <c r="G67" s="252" t="str">
        <f t="shared" si="20"/>
        <v>Informatica</v>
      </c>
      <c r="H67" s="253">
        <f t="shared" si="19"/>
        <v>25.184999999999995</v>
      </c>
      <c r="I67" s="20"/>
      <c r="J67" s="20"/>
      <c r="K67" s="20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20"/>
      <c r="Z67" s="20"/>
      <c r="AA67" s="20"/>
      <c r="AB67" s="20"/>
      <c r="AC67" s="20"/>
      <c r="AD67" s="20"/>
      <c r="AH67" s="32"/>
      <c r="AI67" s="32"/>
      <c r="AJ67" s="19"/>
      <c r="AK67" s="19"/>
      <c r="AL67" s="19"/>
      <c r="AM67" s="19"/>
    </row>
    <row r="68" spans="1:40" ht="17.600000000000001">
      <c r="A68" s="255" t="s">
        <v>15</v>
      </c>
      <c r="B68" s="256">
        <f>+G39+G38+G44+G41</f>
        <v>0.61949999999999994</v>
      </c>
      <c r="C68" s="246">
        <f>+H39+H38+H44+H41</f>
        <v>226.11750000000001</v>
      </c>
      <c r="D68" s="19"/>
      <c r="G68" s="252" t="str">
        <f t="shared" si="20"/>
        <v>TV+Radio+DVD</v>
      </c>
      <c r="H68" s="253">
        <f t="shared" si="19"/>
        <v>226.11750000000001</v>
      </c>
      <c r="I68" s="20"/>
      <c r="J68" s="20"/>
      <c r="K68" s="20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20"/>
      <c r="Z68" s="20"/>
      <c r="AA68" s="20"/>
      <c r="AB68" s="20"/>
      <c r="AC68" s="20"/>
      <c r="AD68" s="20"/>
      <c r="AH68" s="22"/>
      <c r="AI68" s="22"/>
      <c r="AJ68" s="19"/>
      <c r="AK68" s="19"/>
      <c r="AL68" s="19"/>
      <c r="AM68" s="19"/>
    </row>
    <row r="69" spans="1:40" ht="17.600000000000001">
      <c r="A69" s="255" t="s">
        <v>7</v>
      </c>
      <c r="B69" s="256">
        <f>+G42+G43+G40</f>
        <v>0.68039999999999989</v>
      </c>
      <c r="C69" s="246">
        <f>+H42+H43+H40</f>
        <v>248.346</v>
      </c>
      <c r="D69" s="19"/>
      <c r="G69" s="252" t="str">
        <f t="shared" si="20"/>
        <v>Stand By</v>
      </c>
      <c r="H69" s="253">
        <f t="shared" si="19"/>
        <v>248.346</v>
      </c>
      <c r="I69" s="20"/>
      <c r="J69" s="20"/>
      <c r="K69" s="20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20"/>
      <c r="Z69" s="20"/>
      <c r="AA69" s="20"/>
      <c r="AB69" s="20"/>
      <c r="AC69" s="20"/>
      <c r="AD69" s="20"/>
      <c r="AE69" s="33"/>
      <c r="AF69" s="22"/>
      <c r="AG69" s="22"/>
      <c r="AH69" s="19"/>
      <c r="AI69" s="22"/>
      <c r="AJ69" s="22"/>
      <c r="AK69" s="19"/>
      <c r="AL69" s="19"/>
      <c r="AM69" s="19"/>
      <c r="AN69" s="19"/>
    </row>
    <row r="70" spans="1:40" ht="17.600000000000001">
      <c r="A70" s="257" t="s">
        <v>2</v>
      </c>
      <c r="B70" s="256">
        <f t="shared" ref="B70:C73" si="21">+G45</f>
        <v>5.0000000000000001E-3</v>
      </c>
      <c r="C70" s="246">
        <f t="shared" si="21"/>
        <v>1.825</v>
      </c>
      <c r="D70" s="19"/>
      <c r="G70" s="254" t="str">
        <f t="shared" si="20"/>
        <v>Secador Pelo</v>
      </c>
      <c r="H70" s="253">
        <f t="shared" si="19"/>
        <v>1.825</v>
      </c>
      <c r="I70" s="20"/>
      <c r="J70" s="20"/>
      <c r="K70" s="20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20"/>
      <c r="Z70" s="20"/>
      <c r="AA70" s="20"/>
      <c r="AB70" s="20"/>
      <c r="AC70" s="20"/>
      <c r="AD70" s="20"/>
      <c r="AE70" s="33"/>
      <c r="AF70" s="22"/>
      <c r="AG70" s="22"/>
      <c r="AH70" s="19"/>
      <c r="AI70" s="22"/>
      <c r="AJ70" s="22"/>
      <c r="AK70" s="19"/>
      <c r="AL70" s="19"/>
      <c r="AM70" s="19"/>
      <c r="AN70" s="19"/>
    </row>
    <row r="71" spans="1:40" ht="17.600000000000001">
      <c r="A71" s="257" t="s">
        <v>1</v>
      </c>
      <c r="B71" s="256">
        <f t="shared" si="21"/>
        <v>0.315</v>
      </c>
      <c r="C71" s="246">
        <f t="shared" si="21"/>
        <v>114.97499999999999</v>
      </c>
      <c r="D71" s="19"/>
      <c r="G71" s="254" t="str">
        <f t="shared" si="20"/>
        <v>Plancha</v>
      </c>
      <c r="H71" s="253">
        <f t="shared" si="19"/>
        <v>114.97499999999999</v>
      </c>
      <c r="I71" s="20"/>
      <c r="J71" s="20"/>
      <c r="K71" s="20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20"/>
      <c r="Z71" s="20"/>
      <c r="AA71" s="20"/>
      <c r="AB71" s="20"/>
      <c r="AC71" s="20"/>
      <c r="AD71" s="20"/>
      <c r="AE71" s="33"/>
      <c r="AF71" s="22"/>
      <c r="AG71" s="22"/>
      <c r="AH71" s="19"/>
      <c r="AI71" s="22"/>
      <c r="AJ71" s="22"/>
      <c r="AK71" s="19"/>
      <c r="AL71" s="19"/>
      <c r="AM71" s="19"/>
      <c r="AN71" s="19"/>
    </row>
    <row r="72" spans="1:40" ht="17.600000000000001">
      <c r="A72" s="257" t="s">
        <v>42</v>
      </c>
      <c r="B72" s="256">
        <f t="shared" si="21"/>
        <v>0</v>
      </c>
      <c r="C72" s="246">
        <f t="shared" si="21"/>
        <v>0</v>
      </c>
      <c r="D72" s="19"/>
      <c r="G72" s="254" t="str">
        <f t="shared" si="20"/>
        <v>Bomba</v>
      </c>
      <c r="H72" s="253">
        <f t="shared" si="19"/>
        <v>0</v>
      </c>
      <c r="I72" s="20"/>
      <c r="J72" s="20"/>
      <c r="K72" s="20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20"/>
      <c r="Z72" s="20"/>
      <c r="AA72" s="20"/>
      <c r="AB72" s="20"/>
      <c r="AC72" s="20"/>
      <c r="AD72" s="20"/>
      <c r="AE72" s="33"/>
      <c r="AF72" s="22"/>
      <c r="AG72" s="22"/>
      <c r="AH72" s="19"/>
      <c r="AI72" s="22"/>
      <c r="AJ72" s="22"/>
      <c r="AK72" s="19"/>
      <c r="AL72" s="19"/>
      <c r="AM72" s="19"/>
      <c r="AN72" s="19"/>
    </row>
    <row r="73" spans="1:40" ht="17.600000000000001">
      <c r="A73" s="257" t="s">
        <v>104</v>
      </c>
      <c r="B73" s="256">
        <f t="shared" si="21"/>
        <v>0</v>
      </c>
      <c r="C73" s="246">
        <f t="shared" si="21"/>
        <v>0</v>
      </c>
      <c r="D73" s="19"/>
      <c r="G73" s="254" t="str">
        <f t="shared" si="20"/>
        <v>Horno Electr.</v>
      </c>
      <c r="H73" s="253">
        <f t="shared" si="19"/>
        <v>0</v>
      </c>
      <c r="I73" s="20"/>
      <c r="J73" s="20"/>
      <c r="K73" s="20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20"/>
      <c r="Z73" s="20"/>
      <c r="AA73" s="20"/>
      <c r="AB73" s="20"/>
      <c r="AC73" s="20"/>
      <c r="AD73" s="20"/>
      <c r="AE73" s="33"/>
      <c r="AF73" s="22"/>
      <c r="AG73" s="22"/>
      <c r="AH73" s="19"/>
      <c r="AI73" s="22"/>
      <c r="AJ73" s="22"/>
      <c r="AK73" s="19"/>
      <c r="AL73" s="19"/>
      <c r="AM73" s="19"/>
      <c r="AN73" s="19"/>
    </row>
    <row r="74" spans="1:40" ht="18" thickBot="1">
      <c r="A74" s="258" t="s">
        <v>26</v>
      </c>
      <c r="B74" s="256">
        <f>+G50+G49+G51</f>
        <v>3.3333333333333335E-3</v>
      </c>
      <c r="C74" s="246">
        <f>+H50+H49+H51</f>
        <v>1.2166666666666668</v>
      </c>
      <c r="D74" s="19"/>
      <c r="G74" s="252" t="str">
        <f t="shared" si="20"/>
        <v>Otros</v>
      </c>
      <c r="H74" s="253">
        <f t="shared" si="19"/>
        <v>1.2166666666666668</v>
      </c>
      <c r="I74" s="20"/>
      <c r="J74" s="20"/>
      <c r="K74" s="20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20"/>
      <c r="Z74" s="20"/>
      <c r="AA74" s="20"/>
      <c r="AB74" s="20"/>
      <c r="AC74" s="20"/>
      <c r="AD74" s="20"/>
      <c r="AE74" s="33"/>
      <c r="AF74" s="22"/>
      <c r="AG74" s="22"/>
      <c r="AH74" s="19"/>
      <c r="AI74" s="22"/>
      <c r="AJ74" s="22"/>
      <c r="AK74" s="19"/>
      <c r="AL74" s="19"/>
      <c r="AM74" s="19"/>
      <c r="AN74" s="19"/>
    </row>
    <row r="75" spans="1:40" ht="18" thickBot="1">
      <c r="A75" s="259" t="s">
        <v>170</v>
      </c>
      <c r="B75" s="246">
        <f>G52</f>
        <v>0</v>
      </c>
      <c r="C75" s="246">
        <f>H52</f>
        <v>0</v>
      </c>
      <c r="D75" s="19"/>
      <c r="G75" s="253" t="str">
        <f>A80</f>
        <v>Cocción</v>
      </c>
      <c r="H75" s="253">
        <f>C80</f>
        <v>1263.0557333333293</v>
      </c>
      <c r="I75" s="20"/>
      <c r="J75" s="20"/>
      <c r="P75" s="54"/>
      <c r="Q75" s="54"/>
      <c r="R75" s="54"/>
      <c r="S75" s="54"/>
      <c r="T75" s="54"/>
      <c r="U75" s="54"/>
      <c r="V75" s="54"/>
      <c r="W75" s="54"/>
      <c r="X75" s="54"/>
      <c r="Y75" s="20"/>
      <c r="Z75" s="20"/>
      <c r="AA75" s="20"/>
      <c r="AB75" s="20"/>
      <c r="AC75" s="20"/>
      <c r="AD75" s="20"/>
      <c r="AE75" s="33"/>
      <c r="AF75" s="22"/>
      <c r="AG75" s="22"/>
      <c r="AH75" s="19"/>
      <c r="AI75" s="22"/>
      <c r="AJ75" s="22"/>
      <c r="AK75" s="19"/>
      <c r="AL75" s="19"/>
      <c r="AM75" s="19"/>
      <c r="AN75" s="19"/>
    </row>
    <row r="76" spans="1:40" ht="18" thickBot="1">
      <c r="A76" s="260" t="s">
        <v>112</v>
      </c>
      <c r="B76" s="242">
        <f>SUM(B60:B74)</f>
        <v>7.3347941558441541</v>
      </c>
      <c r="C76" s="244">
        <f>SUM(C60:C74)</f>
        <v>2122.7998668831169</v>
      </c>
      <c r="D76" s="19"/>
      <c r="G76" s="253" t="str">
        <f>A81</f>
        <v>ACS</v>
      </c>
      <c r="H76" s="253">
        <f>C81</f>
        <v>3601.0064999999895</v>
      </c>
      <c r="I76" s="20"/>
      <c r="J76" s="20"/>
      <c r="K76" s="20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20"/>
      <c r="Z76" s="20"/>
      <c r="AA76" s="20"/>
      <c r="AB76" s="20"/>
      <c r="AC76" s="20"/>
      <c r="AD76" s="20"/>
      <c r="AE76" s="33"/>
      <c r="AF76" s="22"/>
      <c r="AG76" s="22"/>
      <c r="AH76" s="19"/>
      <c r="AI76" s="22"/>
      <c r="AJ76" s="22"/>
      <c r="AK76" s="19"/>
      <c r="AL76" s="19"/>
      <c r="AM76" s="19"/>
      <c r="AN76" s="19"/>
    </row>
    <row r="77" spans="1:40" ht="17.600000000000001">
      <c r="A77" s="19"/>
      <c r="B77" s="137"/>
      <c r="C77" s="10"/>
      <c r="D77" s="19"/>
      <c r="G77" s="253" t="str">
        <f>A82</f>
        <v>Piloto</v>
      </c>
      <c r="H77" s="253">
        <f>C82</f>
        <v>1776.1721249999944</v>
      </c>
      <c r="I77" s="20"/>
      <c r="J77" s="20"/>
      <c r="K77" s="20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20"/>
      <c r="Z77" s="20"/>
      <c r="AA77" s="20"/>
      <c r="AB77" s="20"/>
      <c r="AC77" s="20"/>
      <c r="AD77" s="20"/>
      <c r="AE77" s="33"/>
      <c r="AF77" s="22"/>
      <c r="AG77" s="22"/>
      <c r="AH77" s="19"/>
      <c r="AI77" s="22"/>
      <c r="AJ77" s="22"/>
      <c r="AK77" s="19"/>
      <c r="AL77" s="19"/>
      <c r="AM77" s="19"/>
      <c r="AN77" s="19"/>
    </row>
    <row r="78" spans="1:40" ht="18" thickBot="1">
      <c r="A78" s="19"/>
      <c r="B78" s="137" t="s">
        <v>153</v>
      </c>
      <c r="C78" s="10" t="s">
        <v>154</v>
      </c>
      <c r="D78" s="19"/>
      <c r="G78" s="253" t="s">
        <v>157</v>
      </c>
      <c r="H78" s="253">
        <f>C83</f>
        <v>8596.4568083333052</v>
      </c>
      <c r="I78" s="20"/>
      <c r="J78" s="20"/>
      <c r="K78" s="20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20"/>
      <c r="Z78" s="20"/>
      <c r="AA78" s="20"/>
      <c r="AB78" s="20"/>
      <c r="AC78" s="20"/>
      <c r="AD78" s="20"/>
      <c r="AE78" s="33"/>
      <c r="AF78" s="22"/>
      <c r="AG78" s="22"/>
      <c r="AH78" s="19"/>
      <c r="AI78" s="22"/>
      <c r="AJ78" s="22"/>
      <c r="AK78" s="19"/>
      <c r="AL78" s="19"/>
      <c r="AM78" s="19"/>
      <c r="AN78" s="19"/>
    </row>
    <row r="79" spans="1:40" ht="26.15">
      <c r="A79" s="138" t="s">
        <v>113</v>
      </c>
      <c r="B79" s="134" t="s">
        <v>61</v>
      </c>
      <c r="C79" s="134" t="s">
        <v>61</v>
      </c>
      <c r="D79" s="19"/>
      <c r="I79" s="20"/>
      <c r="J79" s="20"/>
      <c r="K79" s="20"/>
      <c r="L79" s="571" t="s">
        <v>531</v>
      </c>
      <c r="M79" s="571"/>
      <c r="N79" s="572"/>
      <c r="O79" s="572"/>
      <c r="P79" s="54"/>
      <c r="Q79" s="54"/>
      <c r="R79" s="54"/>
      <c r="S79" s="54"/>
      <c r="T79" s="54"/>
      <c r="U79" s="54"/>
      <c r="V79" s="54"/>
      <c r="W79" s="54"/>
      <c r="X79" s="54"/>
      <c r="Y79" s="20"/>
      <c r="Z79" s="20"/>
      <c r="AA79" s="20"/>
      <c r="AB79" s="20"/>
      <c r="AC79" s="20"/>
      <c r="AD79" s="20"/>
      <c r="AE79" s="33"/>
      <c r="AF79" s="22"/>
      <c r="AG79" s="22"/>
      <c r="AH79" s="19"/>
      <c r="AI79" s="22"/>
      <c r="AJ79" s="22"/>
      <c r="AK79" s="19"/>
      <c r="AL79" s="19"/>
      <c r="AM79" s="19"/>
      <c r="AN79" s="19"/>
    </row>
    <row r="80" spans="1:40" ht="15.45">
      <c r="A80" s="90" t="s">
        <v>20</v>
      </c>
      <c r="B80" s="243">
        <f>'Consumo de Gas'!D26</f>
        <v>3.4604266666666561</v>
      </c>
      <c r="C80" s="264">
        <f>+'Consumo de Gas'!E26</f>
        <v>1263.0557333333293</v>
      </c>
      <c r="D80" s="19"/>
      <c r="G80" s="245"/>
      <c r="H80" s="245"/>
      <c r="I80" s="20"/>
      <c r="J80" s="20"/>
      <c r="K80" s="20"/>
      <c r="Q80" s="54"/>
      <c r="R80" s="54"/>
      <c r="S80" s="54"/>
      <c r="T80" s="54"/>
      <c r="U80" s="54"/>
      <c r="V80" s="54"/>
      <c r="W80" s="54"/>
      <c r="X80" s="54"/>
      <c r="Y80" s="20"/>
      <c r="Z80" s="20"/>
      <c r="AA80" s="20"/>
      <c r="AB80" s="20"/>
      <c r="AC80" s="20"/>
      <c r="AD80" s="20"/>
      <c r="AE80" s="33"/>
      <c r="AF80" s="22"/>
      <c r="AG80" s="22"/>
      <c r="AH80" s="19"/>
      <c r="AI80" s="22"/>
      <c r="AJ80" s="22"/>
      <c r="AK80" s="19"/>
      <c r="AL80" s="19"/>
      <c r="AM80" s="19"/>
      <c r="AN80" s="19"/>
    </row>
    <row r="81" spans="1:40" ht="15.45">
      <c r="A81" s="90" t="s">
        <v>28</v>
      </c>
      <c r="B81" s="243">
        <f>'Consumo de Gas'!D27</f>
        <v>9.8657712328766838</v>
      </c>
      <c r="C81" s="264">
        <f>+'Consumo de Gas'!E27</f>
        <v>3601.0064999999895</v>
      </c>
      <c r="D81" s="19"/>
      <c r="G81" s="261" t="s">
        <v>29</v>
      </c>
      <c r="H81" s="251">
        <f>SUM(H60:H80)</f>
        <v>17359.491033549733</v>
      </c>
      <c r="I81" s="20"/>
      <c r="J81" s="20"/>
      <c r="K81" s="20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20"/>
      <c r="Z81" s="20"/>
      <c r="AA81" s="20"/>
      <c r="AB81" s="20"/>
      <c r="AC81" s="20"/>
      <c r="AD81" s="20"/>
      <c r="AE81" s="33"/>
      <c r="AF81" s="22"/>
      <c r="AG81" s="22"/>
      <c r="AH81" s="19"/>
      <c r="AI81" s="22"/>
      <c r="AJ81" s="22"/>
      <c r="AK81" s="19"/>
      <c r="AL81" s="19"/>
      <c r="AM81" s="19"/>
      <c r="AN81" s="19"/>
    </row>
    <row r="82" spans="1:40" ht="15.45">
      <c r="A82" s="90" t="s">
        <v>16</v>
      </c>
      <c r="B82" s="243">
        <f>'Consumo de Gas'!D28</f>
        <v>4.8662249999999849</v>
      </c>
      <c r="C82" s="264">
        <f>+'Consumo de Gas'!E28</f>
        <v>1776.1721249999944</v>
      </c>
      <c r="D82" s="19"/>
      <c r="E82" s="33"/>
      <c r="F82" s="22"/>
      <c r="G82" s="19"/>
      <c r="H82" s="20"/>
      <c r="I82" s="20"/>
      <c r="J82" s="20"/>
      <c r="K82" s="20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20"/>
      <c r="Z82" s="20"/>
      <c r="AA82" s="20"/>
      <c r="AB82" s="20"/>
      <c r="AC82" s="20"/>
      <c r="AD82" s="20"/>
      <c r="AE82" s="33"/>
      <c r="AF82" s="22"/>
      <c r="AG82" s="22"/>
      <c r="AH82" s="19"/>
      <c r="AI82" s="22"/>
      <c r="AJ82" s="22"/>
      <c r="AK82" s="19"/>
      <c r="AL82" s="19"/>
      <c r="AM82" s="19"/>
      <c r="AN82" s="19"/>
    </row>
    <row r="83" spans="1:40" ht="15.45">
      <c r="A83" s="90" t="s">
        <v>122</v>
      </c>
      <c r="B83" s="243">
        <f>+C83/365</f>
        <v>23.551936461187136</v>
      </c>
      <c r="C83" s="264">
        <f>+'Consumo de Gas'!E29</f>
        <v>8596.4568083333052</v>
      </c>
      <c r="D83" s="19"/>
      <c r="G83" s="33" t="str">
        <f>+"Consumos total gas+electricidad"&amp;" "&amp;E8&amp;" en "&amp;H8&amp;" (kWh)="&amp;ROUND(C85,0)</f>
        <v>Consumos total gas+electricidad Casa en Su Lugar (kWh)=17359</v>
      </c>
      <c r="H83" s="20"/>
      <c r="I83" s="20"/>
      <c r="J83" s="20"/>
      <c r="K83" s="20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20"/>
      <c r="Z83" s="20"/>
      <c r="AA83" s="20"/>
      <c r="AB83" s="20"/>
      <c r="AC83" s="20"/>
      <c r="AD83" s="20"/>
      <c r="AE83" s="33"/>
      <c r="AF83" s="22"/>
      <c r="AG83" s="22"/>
      <c r="AH83" s="19"/>
      <c r="AI83" s="22"/>
      <c r="AJ83" s="22"/>
      <c r="AK83" s="19"/>
      <c r="AL83" s="19"/>
      <c r="AM83" s="19"/>
      <c r="AN83" s="19"/>
    </row>
    <row r="84" spans="1:40" ht="18.45">
      <c r="A84" s="90"/>
      <c r="B84" s="16"/>
      <c r="C84" s="265"/>
      <c r="D84" s="62"/>
      <c r="H84" s="20"/>
      <c r="I84" s="20"/>
      <c r="J84" s="675" t="s">
        <v>625</v>
      </c>
      <c r="K84" s="675"/>
      <c r="L84" s="676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20"/>
      <c r="Z84" s="20"/>
      <c r="AA84" s="20"/>
      <c r="AB84" s="20"/>
      <c r="AC84" s="20"/>
      <c r="AD84" s="20"/>
      <c r="AE84" s="33"/>
      <c r="AF84" s="22"/>
      <c r="AG84" s="22"/>
      <c r="AH84" s="19"/>
      <c r="AI84" s="22"/>
      <c r="AJ84" s="22"/>
      <c r="AK84" s="19"/>
      <c r="AL84" s="19"/>
      <c r="AM84" s="19"/>
      <c r="AN84" s="19"/>
    </row>
    <row r="85" spans="1:40" ht="17.600000000000001">
      <c r="A85" s="262" t="s">
        <v>105</v>
      </c>
      <c r="B85" s="263">
        <f>SUM(B60:B84)</f>
        <v>56.413947672418772</v>
      </c>
      <c r="C85" s="266">
        <f>+C86+C87</f>
        <v>17359.491033549733</v>
      </c>
      <c r="D85" s="19"/>
      <c r="H85" s="222"/>
      <c r="I85" s="222"/>
      <c r="J85" s="674" t="s">
        <v>626</v>
      </c>
      <c r="K85" s="674"/>
      <c r="L85" s="67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20"/>
      <c r="Z85" s="20"/>
      <c r="AA85" s="20"/>
      <c r="AB85" s="20"/>
      <c r="AC85" s="20"/>
      <c r="AD85" s="20"/>
      <c r="AE85" s="33"/>
      <c r="AF85" s="22"/>
      <c r="AG85" s="22"/>
      <c r="AH85" s="19"/>
      <c r="AI85" s="22"/>
      <c r="AJ85" s="22"/>
      <c r="AK85" s="19"/>
      <c r="AL85" s="19"/>
      <c r="AM85" s="19"/>
      <c r="AN85" s="19"/>
    </row>
    <row r="86" spans="1:40" ht="15.45">
      <c r="A86" s="90" t="s">
        <v>18</v>
      </c>
      <c r="B86" s="16">
        <f>SUM(B60:B74)</f>
        <v>7.3347941558441541</v>
      </c>
      <c r="C86" s="265">
        <f>SUM(C60:C74)</f>
        <v>2122.7998668831169</v>
      </c>
      <c r="D86" s="19"/>
      <c r="E86" s="19"/>
      <c r="F86" s="19"/>
      <c r="G86" s="19"/>
      <c r="H86" s="1"/>
      <c r="I86" s="1"/>
      <c r="J86" s="1"/>
      <c r="K86" s="1"/>
      <c r="L86"/>
      <c r="M86"/>
      <c r="N86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20"/>
      <c r="Z86" s="20"/>
      <c r="AA86" s="20"/>
      <c r="AB86" s="20"/>
      <c r="AC86" s="20"/>
      <c r="AD86" s="20"/>
      <c r="AE86" s="33"/>
      <c r="AF86" s="22"/>
      <c r="AG86" s="22"/>
      <c r="AH86" s="19"/>
      <c r="AI86" s="29"/>
      <c r="AJ86" s="22"/>
      <c r="AK86" s="19"/>
      <c r="AL86" s="19"/>
      <c r="AM86" s="19"/>
      <c r="AN86" s="19"/>
    </row>
    <row r="87" spans="1:40" ht="15.9" thickBot="1">
      <c r="A87" s="91" t="s">
        <v>19</v>
      </c>
      <c r="B87" s="9">
        <f>SUM(B80:B83)</f>
        <v>41.744359360730456</v>
      </c>
      <c r="C87" s="267">
        <f>SUM(C80:C83)</f>
        <v>15236.691166666618</v>
      </c>
      <c r="D87" s="29"/>
      <c r="E87" s="19"/>
      <c r="F87" s="19"/>
      <c r="H87" s="1"/>
      <c r="I87" s="1"/>
      <c r="J87" s="1"/>
      <c r="K87" s="1"/>
      <c r="L87"/>
      <c r="M87"/>
      <c r="N87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20"/>
      <c r="Z87" s="20"/>
      <c r="AA87" s="20"/>
      <c r="AB87" s="20"/>
      <c r="AC87" s="20"/>
      <c r="AD87" s="20"/>
      <c r="AE87" s="33"/>
      <c r="AF87" s="22"/>
      <c r="AG87" s="22"/>
      <c r="AH87" s="19"/>
      <c r="AI87" s="22"/>
      <c r="AJ87" s="22"/>
      <c r="AK87" s="19"/>
      <c r="AL87" s="19"/>
      <c r="AM87" s="19"/>
      <c r="AN87" s="19"/>
    </row>
    <row r="88" spans="1:40" ht="14.6">
      <c r="A88" s="22"/>
      <c r="B88" s="22"/>
      <c r="C88" s="29"/>
      <c r="D88" s="19"/>
      <c r="E88" s="19"/>
      <c r="F88" s="19"/>
      <c r="H88" s="568" t="s">
        <v>523</v>
      </c>
      <c r="I88" s="569">
        <f>SUM(I90:I95)</f>
        <v>2017</v>
      </c>
      <c r="J88" s="569"/>
      <c r="K88" s="568" t="s">
        <v>31</v>
      </c>
      <c r="L88"/>
      <c r="M88"/>
      <c r="N88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20"/>
      <c r="Z88" s="20"/>
      <c r="AA88" s="20"/>
      <c r="AB88" s="20"/>
      <c r="AC88" s="20"/>
      <c r="AD88" s="20"/>
      <c r="AE88" s="33"/>
      <c r="AF88" s="22"/>
      <c r="AG88" s="22"/>
      <c r="AH88" s="19"/>
      <c r="AI88" s="19"/>
      <c r="AJ88" s="22"/>
      <c r="AK88" s="19"/>
      <c r="AL88" s="19"/>
      <c r="AM88" s="19"/>
      <c r="AN88" s="19"/>
    </row>
    <row r="89" spans="1:40" ht="14.6">
      <c r="A89" s="19"/>
      <c r="B89" s="19"/>
      <c r="C89" s="29"/>
      <c r="D89" s="29"/>
      <c r="E89" s="19"/>
      <c r="F89" s="19"/>
      <c r="H89" s="1"/>
      <c r="I89" s="1"/>
      <c r="J89" s="1"/>
      <c r="K89" s="1"/>
      <c r="L89"/>
      <c r="M89"/>
      <c r="N89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20"/>
      <c r="Z89" s="20"/>
      <c r="AA89" s="20"/>
      <c r="AB89" s="20"/>
      <c r="AC89" s="20"/>
      <c r="AD89" s="20"/>
      <c r="AE89" s="33"/>
      <c r="AF89" s="22"/>
      <c r="AG89" s="22"/>
      <c r="AH89" s="19"/>
      <c r="AI89" s="22"/>
      <c r="AJ89" s="22"/>
      <c r="AK89" s="19"/>
      <c r="AL89" s="19"/>
      <c r="AM89" s="19"/>
      <c r="AN89" s="19"/>
    </row>
    <row r="90" spans="1:40" ht="14.6">
      <c r="A90" s="22"/>
      <c r="B90" s="22"/>
      <c r="C90" s="19"/>
      <c r="D90" s="19"/>
      <c r="E90" s="19"/>
      <c r="F90" s="19"/>
      <c r="H90" s="753" t="s">
        <v>524</v>
      </c>
      <c r="I90" s="744">
        <v>346</v>
      </c>
      <c r="J90" s="669"/>
      <c r="K90" s="1"/>
      <c r="L90"/>
      <c r="M90"/>
      <c r="N90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20"/>
      <c r="Z90" s="20"/>
      <c r="AA90" s="20"/>
      <c r="AB90" s="20"/>
      <c r="AC90" s="20"/>
      <c r="AD90" s="20"/>
      <c r="AE90" s="33"/>
      <c r="AF90" s="22"/>
      <c r="AG90" s="22"/>
      <c r="AH90" s="19"/>
      <c r="AI90" s="22"/>
      <c r="AJ90" s="22"/>
      <c r="AK90" s="19"/>
      <c r="AL90" s="19"/>
      <c r="AM90" s="19"/>
      <c r="AN90" s="19"/>
    </row>
    <row r="91" spans="1:40" ht="14.6">
      <c r="A91" s="19"/>
      <c r="B91" s="19"/>
      <c r="C91" s="29"/>
      <c r="D91" s="29"/>
      <c r="E91" s="19"/>
      <c r="F91" s="19"/>
      <c r="H91" s="753" t="s">
        <v>525</v>
      </c>
      <c r="I91" s="744">
        <v>268</v>
      </c>
      <c r="J91" s="669"/>
      <c r="K91" s="1"/>
      <c r="L91"/>
      <c r="M91"/>
      <c r="N91"/>
      <c r="O91" s="36"/>
      <c r="P91" s="54"/>
      <c r="Q91" s="54"/>
      <c r="R91" s="54"/>
      <c r="S91" s="54"/>
      <c r="T91" s="54"/>
      <c r="U91" s="54"/>
      <c r="V91" s="54"/>
      <c r="W91" s="54"/>
      <c r="X91" s="54"/>
      <c r="Y91" s="20"/>
      <c r="Z91" s="20"/>
      <c r="AA91" s="20"/>
      <c r="AB91" s="20"/>
      <c r="AC91" s="20"/>
      <c r="AD91" s="20"/>
      <c r="AE91" s="33"/>
      <c r="AF91" s="22"/>
      <c r="AG91" s="22"/>
      <c r="AH91" s="19"/>
      <c r="AI91" s="22"/>
      <c r="AJ91" s="22"/>
      <c r="AK91" s="19"/>
      <c r="AL91" s="19"/>
      <c r="AM91" s="19"/>
      <c r="AN91" s="19"/>
    </row>
    <row r="92" spans="1:40" ht="14.6">
      <c r="A92" s="22"/>
      <c r="B92" s="22"/>
      <c r="C92" s="19"/>
      <c r="D92" s="19"/>
      <c r="E92" s="19"/>
      <c r="F92" s="19"/>
      <c r="H92" s="753" t="s">
        <v>526</v>
      </c>
      <c r="I92" s="744">
        <v>294</v>
      </c>
      <c r="J92" s="669"/>
      <c r="K92" s="1"/>
      <c r="L92"/>
      <c r="M92"/>
      <c r="N92"/>
      <c r="O92" s="36"/>
      <c r="P92" s="54"/>
      <c r="Q92" s="54"/>
      <c r="R92" s="54"/>
      <c r="S92" s="54"/>
      <c r="T92" s="54"/>
      <c r="U92" s="54"/>
      <c r="V92" s="54"/>
      <c r="W92" s="54"/>
      <c r="X92" s="54"/>
      <c r="Y92" s="20"/>
      <c r="Z92" s="20"/>
      <c r="AA92" s="20"/>
      <c r="AB92" s="20"/>
      <c r="AC92" s="20"/>
      <c r="AD92" s="20"/>
      <c r="AE92" s="33"/>
      <c r="AF92" s="22"/>
      <c r="AG92" s="22"/>
      <c r="AH92" s="19"/>
      <c r="AI92" s="22"/>
      <c r="AJ92" s="22"/>
      <c r="AK92" s="19"/>
      <c r="AL92" s="19"/>
      <c r="AM92" s="19"/>
      <c r="AN92" s="19"/>
    </row>
    <row r="93" spans="1:40" ht="14.6">
      <c r="A93" s="19"/>
      <c r="B93" s="19"/>
      <c r="C93" s="29"/>
      <c r="D93" s="29"/>
      <c r="E93" s="19"/>
      <c r="F93" s="19"/>
      <c r="H93" s="753" t="s">
        <v>527</v>
      </c>
      <c r="I93" s="744">
        <v>282</v>
      </c>
      <c r="J93" s="669"/>
      <c r="K93" s="1"/>
      <c r="L93"/>
      <c r="M93"/>
      <c r="N93"/>
      <c r="O93" s="36"/>
      <c r="P93" s="54"/>
      <c r="Q93" s="54"/>
      <c r="R93" s="54"/>
      <c r="S93" s="54"/>
      <c r="T93" s="54"/>
      <c r="U93" s="54"/>
      <c r="V93" s="54"/>
      <c r="W93" s="54"/>
      <c r="X93" s="54"/>
      <c r="Y93" s="20"/>
      <c r="Z93" s="20"/>
      <c r="AA93" s="20"/>
      <c r="AB93" s="20"/>
      <c r="AC93" s="20"/>
      <c r="AD93" s="20"/>
      <c r="AE93" s="33"/>
      <c r="AF93" s="22"/>
      <c r="AG93" s="22"/>
      <c r="AH93" s="19"/>
      <c r="AI93" s="19"/>
      <c r="AJ93" s="19"/>
      <c r="AK93" s="19"/>
      <c r="AL93" s="19"/>
      <c r="AM93" s="19"/>
      <c r="AN93" s="19"/>
    </row>
    <row r="94" spans="1:40" ht="14.6">
      <c r="A94" s="22"/>
      <c r="B94" s="22"/>
      <c r="C94" s="19"/>
      <c r="D94" s="19"/>
      <c r="E94" s="19"/>
      <c r="F94" s="19"/>
      <c r="H94" s="753" t="s">
        <v>528</v>
      </c>
      <c r="I94" s="744">
        <v>365</v>
      </c>
      <c r="J94" s="669"/>
      <c r="K94" s="1"/>
      <c r="L94"/>
      <c r="M94"/>
      <c r="N94"/>
      <c r="O94" s="36"/>
      <c r="P94" s="54"/>
      <c r="Q94" s="54"/>
      <c r="R94" s="54"/>
      <c r="S94" s="54"/>
      <c r="T94" s="54"/>
      <c r="U94" s="54"/>
      <c r="V94" s="54"/>
      <c r="W94" s="54"/>
      <c r="X94" s="54"/>
      <c r="Y94" s="20"/>
      <c r="Z94" s="20"/>
      <c r="AA94" s="20"/>
      <c r="AB94" s="20"/>
      <c r="AC94" s="20"/>
      <c r="AD94" s="20"/>
      <c r="AE94" s="33"/>
      <c r="AF94" s="22"/>
      <c r="AG94" s="22"/>
      <c r="AH94" s="19"/>
      <c r="AI94" s="22"/>
      <c r="AJ94" s="22"/>
      <c r="AK94" s="19"/>
      <c r="AL94" s="19"/>
      <c r="AM94" s="19"/>
      <c r="AN94" s="19"/>
    </row>
    <row r="95" spans="1:40" ht="14.6">
      <c r="A95" s="19"/>
      <c r="B95" s="19"/>
      <c r="C95" s="19"/>
      <c r="D95" s="19"/>
      <c r="E95" s="19"/>
      <c r="F95" s="19"/>
      <c r="H95" s="753" t="s">
        <v>529</v>
      </c>
      <c r="I95" s="744">
        <v>462</v>
      </c>
      <c r="J95" s="669"/>
      <c r="K95" s="1"/>
      <c r="L95"/>
      <c r="M95"/>
      <c r="N95"/>
      <c r="O95" s="36"/>
      <c r="P95" s="54"/>
      <c r="Q95" s="54"/>
      <c r="R95" s="54"/>
      <c r="S95" s="54"/>
      <c r="T95" s="54"/>
      <c r="U95" s="54"/>
      <c r="V95" s="54"/>
      <c r="W95" s="54"/>
      <c r="X95" s="54"/>
      <c r="Y95" s="20"/>
      <c r="Z95" s="20"/>
      <c r="AA95" s="20"/>
      <c r="AB95" s="20"/>
      <c r="AC95" s="20"/>
      <c r="AD95" s="20"/>
      <c r="AE95" s="33"/>
      <c r="AF95" s="22"/>
      <c r="AG95" s="22"/>
      <c r="AH95" s="19"/>
      <c r="AI95" s="22"/>
      <c r="AJ95" s="22"/>
      <c r="AK95" s="19"/>
      <c r="AL95" s="19"/>
      <c r="AM95" s="19"/>
      <c r="AN95" s="19"/>
    </row>
    <row r="96" spans="1:40" ht="14.6">
      <c r="A96" s="19"/>
      <c r="B96" s="19"/>
      <c r="C96" s="19"/>
      <c r="D96" s="19"/>
      <c r="E96" s="19"/>
      <c r="F96" s="19"/>
      <c r="H96" s="753"/>
      <c r="I96" s="744"/>
      <c r="J96" s="570"/>
      <c r="K96" s="1"/>
      <c r="L96"/>
      <c r="M96"/>
      <c r="N96"/>
      <c r="O96" s="36"/>
      <c r="P96" s="54"/>
      <c r="Q96" s="54"/>
      <c r="R96" s="54"/>
      <c r="S96" s="54"/>
      <c r="T96" s="54"/>
      <c r="U96" s="54"/>
      <c r="V96" s="54"/>
      <c r="W96" s="54"/>
      <c r="X96" s="54"/>
      <c r="Y96" s="20"/>
      <c r="Z96" s="20"/>
      <c r="AA96" s="20"/>
      <c r="AB96" s="20"/>
      <c r="AC96" s="20"/>
      <c r="AD96" s="20"/>
      <c r="AE96" s="33"/>
      <c r="AF96" s="22"/>
      <c r="AG96" s="22"/>
      <c r="AH96" s="19"/>
      <c r="AI96" s="19"/>
      <c r="AJ96" s="22"/>
      <c r="AK96" s="19"/>
      <c r="AL96" s="19"/>
      <c r="AM96" s="19"/>
      <c r="AN96" s="19"/>
    </row>
    <row r="97" spans="1:40" ht="14.6">
      <c r="D97" s="19"/>
      <c r="E97" s="19"/>
      <c r="F97" s="19"/>
      <c r="H97" s="754" t="s">
        <v>530</v>
      </c>
      <c r="I97" s="755">
        <v>400</v>
      </c>
      <c r="J97" s="1"/>
      <c r="K97" s="1"/>
      <c r="L97"/>
      <c r="M97"/>
      <c r="N97"/>
      <c r="O97" s="36"/>
      <c r="P97" s="54"/>
      <c r="Q97" s="54"/>
      <c r="R97" s="54"/>
      <c r="S97" s="54"/>
      <c r="T97" s="54"/>
      <c r="U97" s="54"/>
      <c r="V97" s="54"/>
      <c r="W97" s="54"/>
      <c r="X97" s="54"/>
      <c r="Y97" s="20"/>
      <c r="Z97" s="20"/>
      <c r="AA97" s="20"/>
      <c r="AB97" s="20"/>
      <c r="AC97" s="20"/>
      <c r="AD97" s="20"/>
      <c r="AE97" s="33"/>
      <c r="AF97" s="22"/>
      <c r="AG97" s="22"/>
      <c r="AH97" s="19"/>
      <c r="AI97" s="19"/>
      <c r="AJ97" s="22"/>
      <c r="AK97" s="19"/>
      <c r="AL97" s="19"/>
      <c r="AM97" s="19"/>
      <c r="AN97" s="19"/>
    </row>
    <row r="98" spans="1:40" ht="14.6">
      <c r="H98" s="755"/>
      <c r="I98" s="755"/>
      <c r="J98" s="1"/>
      <c r="K98" s="1"/>
      <c r="L98"/>
      <c r="M98"/>
      <c r="N98"/>
      <c r="O98" s="36"/>
      <c r="P98" s="54"/>
      <c r="Q98" s="54"/>
      <c r="R98" s="54"/>
      <c r="S98" s="54"/>
      <c r="T98" s="54"/>
      <c r="U98" s="54"/>
      <c r="V98" s="54"/>
      <c r="W98" s="54"/>
      <c r="X98" s="54"/>
      <c r="Y98" s="20"/>
      <c r="Z98" s="20"/>
      <c r="AA98" s="20"/>
      <c r="AB98" s="20"/>
      <c r="AC98" s="20"/>
      <c r="AD98" s="20"/>
      <c r="AE98" s="33"/>
      <c r="AF98" s="22"/>
      <c r="AG98" s="22"/>
      <c r="AH98" s="19"/>
      <c r="AI98" s="19"/>
      <c r="AJ98" s="22"/>
      <c r="AK98" s="19"/>
      <c r="AL98" s="19"/>
      <c r="AM98" s="19"/>
      <c r="AN98" s="19"/>
    </row>
    <row r="99" spans="1:40" ht="14.6">
      <c r="A99" s="54"/>
      <c r="H99" s="755"/>
      <c r="I99" s="755"/>
      <c r="M99"/>
      <c r="N99"/>
      <c r="O99" s="36"/>
      <c r="P99" s="54"/>
      <c r="Q99" s="54"/>
      <c r="R99" s="54"/>
      <c r="S99" s="54"/>
      <c r="T99" s="54"/>
      <c r="U99" s="54"/>
      <c r="V99" s="54"/>
      <c r="W99" s="54"/>
      <c r="X99" s="54"/>
      <c r="Y99" s="20"/>
      <c r="Z99" s="20"/>
      <c r="AA99" s="20"/>
      <c r="AB99" s="20"/>
      <c r="AC99" s="20"/>
      <c r="AD99" s="20"/>
      <c r="AE99" s="22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 ht="14.6">
      <c r="H100" s="755"/>
      <c r="I100" s="755"/>
      <c r="M100"/>
      <c r="N100"/>
      <c r="O100" s="36"/>
      <c r="P100" s="54"/>
      <c r="Q100" s="54"/>
      <c r="R100" s="54"/>
      <c r="S100" s="54"/>
      <c r="T100" s="54"/>
      <c r="U100" s="54"/>
      <c r="V100" s="54"/>
      <c r="W100" s="54"/>
      <c r="X100" s="54"/>
      <c r="Y100" s="20"/>
      <c r="Z100" s="20"/>
      <c r="AA100" s="20"/>
      <c r="AB100" s="20"/>
      <c r="AC100" s="20"/>
      <c r="AD100" s="20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 ht="14.6">
      <c r="H101" s="755"/>
      <c r="I101" s="755"/>
      <c r="M101"/>
      <c r="N101"/>
      <c r="O101" s="36"/>
      <c r="P101" s="54"/>
      <c r="Q101" s="54"/>
      <c r="R101" s="54"/>
      <c r="S101" s="54"/>
      <c r="T101" s="54"/>
      <c r="U101" s="54"/>
      <c r="V101" s="54"/>
      <c r="W101" s="54"/>
      <c r="X101" s="54"/>
      <c r="Y101" s="20"/>
      <c r="Z101" s="20"/>
      <c r="AA101" s="20"/>
      <c r="AB101" s="20"/>
      <c r="AC101" s="20"/>
      <c r="AD101" s="20"/>
      <c r="AE101" s="37"/>
      <c r="AF101" s="38"/>
      <c r="AG101" s="19"/>
      <c r="AH101" s="19"/>
      <c r="AI101" s="19"/>
      <c r="AJ101" s="19"/>
      <c r="AK101" s="19"/>
      <c r="AL101" s="19"/>
      <c r="AM101" s="19"/>
      <c r="AN101" s="19"/>
    </row>
    <row r="102" spans="1:40" ht="14.6">
      <c r="H102" s="755"/>
      <c r="I102" s="755"/>
      <c r="M102"/>
      <c r="N102"/>
      <c r="O102" s="36"/>
      <c r="P102" s="54"/>
      <c r="Q102" s="54"/>
      <c r="R102" s="54"/>
      <c r="S102" s="54"/>
      <c r="T102" s="54"/>
      <c r="U102" s="54"/>
      <c r="V102" s="54"/>
      <c r="W102" s="54"/>
      <c r="X102" s="54"/>
      <c r="Y102" s="20"/>
      <c r="Z102" s="20"/>
      <c r="AA102" s="20"/>
      <c r="AB102" s="20"/>
      <c r="AC102" s="20"/>
      <c r="AD102" s="20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 ht="14.6">
      <c r="H103" s="755"/>
      <c r="I103" s="755"/>
      <c r="M103"/>
      <c r="N103"/>
      <c r="O103" s="36"/>
      <c r="P103" s="54"/>
      <c r="Q103" s="54"/>
      <c r="R103" s="54"/>
      <c r="S103" s="54"/>
      <c r="T103" s="54"/>
      <c r="U103" s="54"/>
      <c r="V103" s="54"/>
      <c r="W103" s="54"/>
      <c r="X103" s="54"/>
      <c r="Y103" s="20"/>
      <c r="Z103" s="20"/>
      <c r="AA103" s="20"/>
      <c r="AB103" s="20"/>
      <c r="AC103" s="20"/>
      <c r="AD103" s="20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ht="14.6">
      <c r="H104" s="755"/>
      <c r="I104" s="755"/>
      <c r="M104"/>
      <c r="N104"/>
      <c r="O104" s="36"/>
      <c r="P104" s="54"/>
      <c r="Q104" s="54"/>
      <c r="R104" s="54"/>
      <c r="S104" s="54"/>
      <c r="T104" s="54"/>
      <c r="U104" s="54"/>
      <c r="V104" s="54"/>
      <c r="W104" s="54"/>
      <c r="X104" s="54"/>
      <c r="Y104" s="20"/>
      <c r="Z104" s="20"/>
      <c r="AA104" s="20"/>
      <c r="AB104" s="20"/>
      <c r="AC104" s="20"/>
      <c r="AD104" s="20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 ht="14.6">
      <c r="H105" s="755"/>
      <c r="I105" s="755"/>
      <c r="M105"/>
      <c r="N105"/>
      <c r="O105" s="36"/>
      <c r="P105" s="54"/>
      <c r="Q105" s="54"/>
      <c r="R105" s="54"/>
      <c r="S105" s="54"/>
      <c r="T105" s="54"/>
      <c r="U105" s="54"/>
      <c r="V105" s="54"/>
      <c r="W105" s="54"/>
      <c r="X105" s="54"/>
      <c r="Y105" s="20"/>
      <c r="Z105" s="20"/>
      <c r="AA105" s="20"/>
      <c r="AB105" s="20"/>
      <c r="AC105" s="20"/>
      <c r="AD105" s="20"/>
      <c r="AE105" s="3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 ht="14.6">
      <c r="H106" s="755"/>
      <c r="I106" s="755"/>
      <c r="M106"/>
      <c r="N106"/>
      <c r="O106" s="36"/>
      <c r="P106" s="54"/>
      <c r="Q106" s="54"/>
      <c r="R106" s="54"/>
      <c r="S106" s="54"/>
      <c r="T106" s="54"/>
      <c r="U106" s="54"/>
      <c r="V106" s="54"/>
      <c r="W106" s="54"/>
      <c r="X106" s="54"/>
      <c r="Y106" s="20"/>
      <c r="Z106" s="20"/>
      <c r="AA106" s="20"/>
      <c r="AB106" s="20"/>
      <c r="AC106" s="20"/>
      <c r="AD106" s="20"/>
      <c r="AE106" s="28"/>
      <c r="AF106" s="19"/>
      <c r="AG106" s="19"/>
      <c r="AH106" s="40"/>
      <c r="AI106" s="19"/>
      <c r="AJ106" s="19"/>
      <c r="AK106" s="19"/>
      <c r="AL106" s="19"/>
      <c r="AM106" s="19"/>
      <c r="AN106" s="19"/>
    </row>
    <row r="107" spans="1:40" ht="14.6">
      <c r="H107" s="755"/>
      <c r="I107" s="755"/>
      <c r="J107" s="1"/>
      <c r="K107" s="1"/>
      <c r="L107"/>
      <c r="M107"/>
      <c r="N107"/>
      <c r="O107" s="36"/>
      <c r="P107" s="54"/>
      <c r="Q107" s="54"/>
      <c r="R107" s="54"/>
      <c r="S107" s="54"/>
      <c r="T107" s="54"/>
      <c r="U107" s="54"/>
      <c r="V107" s="54"/>
      <c r="W107" s="54"/>
      <c r="X107" s="54"/>
      <c r="Y107" s="20"/>
      <c r="Z107" s="20"/>
      <c r="AA107" s="20"/>
      <c r="AB107" s="20"/>
      <c r="AC107" s="20"/>
      <c r="AD107" s="20"/>
      <c r="AE107" s="25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 ht="14.6">
      <c r="H108" s="1"/>
      <c r="I108" s="1"/>
      <c r="J108" s="1"/>
      <c r="K108" s="1"/>
      <c r="L108"/>
      <c r="M108"/>
      <c r="N108"/>
      <c r="O108" s="36"/>
      <c r="P108" s="54"/>
      <c r="Q108" s="54"/>
      <c r="R108" s="54"/>
      <c r="S108" s="54"/>
      <c r="T108" s="54"/>
      <c r="U108" s="54"/>
      <c r="V108" s="54"/>
      <c r="W108" s="54"/>
      <c r="X108" s="54"/>
      <c r="Y108" s="20"/>
      <c r="Z108" s="20"/>
      <c r="AA108" s="20"/>
      <c r="AB108" s="20"/>
      <c r="AC108" s="20"/>
      <c r="AD108" s="20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 ht="14.6">
      <c r="H109" s="1"/>
      <c r="I109" s="1"/>
      <c r="J109" s="1"/>
      <c r="K109" s="1"/>
      <c r="L109"/>
      <c r="M109"/>
      <c r="N109"/>
      <c r="O109" s="36"/>
      <c r="P109" s="54"/>
      <c r="Q109" s="54"/>
      <c r="R109" s="54"/>
      <c r="S109" s="54"/>
      <c r="T109" s="54"/>
      <c r="U109" s="54"/>
      <c r="V109" s="54"/>
      <c r="W109" s="54"/>
      <c r="X109" s="54"/>
      <c r="Y109" s="20"/>
      <c r="Z109" s="20"/>
      <c r="AA109" s="20"/>
      <c r="AB109" s="20"/>
      <c r="AC109" s="20"/>
      <c r="AD109" s="20"/>
      <c r="AE109" s="22"/>
      <c r="AF109" s="30"/>
      <c r="AG109" s="22"/>
      <c r="AH109" s="32"/>
      <c r="AI109" s="32"/>
      <c r="AJ109" s="19"/>
      <c r="AK109" s="19"/>
      <c r="AL109" s="19"/>
      <c r="AM109" s="19"/>
      <c r="AN109" s="19"/>
    </row>
    <row r="110" spans="1:40" ht="14.6">
      <c r="H110" s="1"/>
      <c r="I110" s="1"/>
      <c r="J110" s="1"/>
      <c r="K110" s="1"/>
      <c r="L110"/>
      <c r="M110"/>
      <c r="N110"/>
      <c r="O110" s="36"/>
      <c r="P110" s="54"/>
      <c r="Q110" s="54"/>
      <c r="R110" s="54"/>
      <c r="S110" s="54"/>
      <c r="T110" s="54"/>
      <c r="U110" s="54"/>
      <c r="V110" s="54"/>
      <c r="W110" s="54"/>
      <c r="X110" s="54"/>
      <c r="Y110" s="20"/>
      <c r="Z110" s="20"/>
      <c r="AA110" s="20"/>
      <c r="AB110" s="20"/>
      <c r="AC110" s="20"/>
      <c r="AD110" s="20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 ht="14.6">
      <c r="H111" s="1"/>
      <c r="I111" s="1"/>
      <c r="J111" s="1"/>
      <c r="K111" s="1"/>
      <c r="L111"/>
      <c r="M111"/>
      <c r="N111"/>
      <c r="O111" s="36"/>
      <c r="P111" s="54"/>
      <c r="Q111" s="54"/>
      <c r="R111" s="54"/>
      <c r="S111" s="54"/>
      <c r="T111" s="54"/>
      <c r="U111" s="54"/>
      <c r="V111" s="54"/>
      <c r="W111" s="54"/>
      <c r="X111" s="54"/>
      <c r="Y111" s="20"/>
      <c r="Z111" s="20"/>
      <c r="AA111" s="20"/>
      <c r="AB111" s="20"/>
      <c r="AC111" s="20"/>
      <c r="AD111" s="20"/>
      <c r="AE111" s="22"/>
      <c r="AF111" s="22"/>
      <c r="AG111" s="19"/>
      <c r="AH111" s="19"/>
      <c r="AI111" s="22"/>
      <c r="AJ111" s="19"/>
      <c r="AK111" s="19"/>
      <c r="AL111" s="19"/>
      <c r="AM111" s="19"/>
      <c r="AN111" s="19"/>
    </row>
    <row r="112" spans="1:40" ht="14.6">
      <c r="H112" s="35"/>
      <c r="I112" s="36"/>
      <c r="J112" s="36"/>
      <c r="K112" s="36"/>
      <c r="L112" s="36"/>
      <c r="M112" s="36"/>
      <c r="N112" s="36"/>
      <c r="O112" s="36"/>
      <c r="P112" s="54"/>
      <c r="Q112" s="54"/>
      <c r="R112" s="54"/>
      <c r="S112" s="54"/>
      <c r="T112" s="54"/>
      <c r="U112" s="54"/>
      <c r="V112" s="54"/>
      <c r="W112" s="54"/>
      <c r="X112" s="54"/>
      <c r="Y112" s="20"/>
      <c r="Z112" s="20"/>
      <c r="AA112" s="20"/>
      <c r="AB112" s="20"/>
      <c r="AC112" s="20"/>
      <c r="AD112" s="20"/>
      <c r="AE112" s="22"/>
      <c r="AF112" s="22"/>
      <c r="AG112" s="19"/>
      <c r="AH112" s="22"/>
      <c r="AI112" s="22"/>
      <c r="AJ112" s="19"/>
      <c r="AK112" s="19"/>
      <c r="AL112" s="19"/>
      <c r="AM112" s="19"/>
      <c r="AN112" s="19"/>
    </row>
    <row r="113" spans="8:40" ht="14.6">
      <c r="H113" s="35"/>
      <c r="I113" s="36"/>
      <c r="J113" s="36"/>
      <c r="K113" s="36"/>
      <c r="L113" s="36"/>
      <c r="M113" s="36"/>
      <c r="N113" s="36"/>
      <c r="O113" s="36"/>
      <c r="P113" s="54"/>
      <c r="Q113" s="54"/>
      <c r="R113" s="54"/>
      <c r="S113" s="54"/>
      <c r="T113" s="54"/>
      <c r="U113" s="54"/>
      <c r="V113" s="54"/>
      <c r="W113" s="54"/>
      <c r="X113" s="54"/>
      <c r="Y113" s="20"/>
      <c r="Z113" s="20"/>
      <c r="AA113" s="20"/>
      <c r="AB113" s="20"/>
      <c r="AC113" s="20"/>
      <c r="AD113" s="20"/>
      <c r="AE113" s="22"/>
      <c r="AF113" s="22"/>
      <c r="AG113" s="19"/>
      <c r="AH113" s="22"/>
      <c r="AI113" s="22"/>
      <c r="AJ113" s="19"/>
      <c r="AK113" s="19"/>
      <c r="AL113" s="19"/>
      <c r="AM113" s="19"/>
      <c r="AN113" s="19"/>
    </row>
    <row r="114" spans="8:40" ht="14.6">
      <c r="H114" s="35"/>
      <c r="I114" s="36"/>
      <c r="J114" s="36"/>
      <c r="K114" s="36"/>
      <c r="L114" s="36"/>
      <c r="M114" s="36"/>
      <c r="N114" s="36"/>
      <c r="O114" s="36"/>
      <c r="P114" s="54"/>
      <c r="Q114" s="54"/>
      <c r="R114" s="54"/>
      <c r="S114" s="54"/>
      <c r="T114" s="54"/>
      <c r="U114" s="54"/>
      <c r="V114" s="54"/>
      <c r="W114" s="54"/>
      <c r="X114" s="54"/>
      <c r="Y114" s="20"/>
      <c r="Z114" s="20"/>
      <c r="AA114" s="20"/>
      <c r="AB114" s="20"/>
      <c r="AC114" s="20"/>
      <c r="AD114" s="20"/>
      <c r="AE114" s="22"/>
      <c r="AF114" s="22"/>
      <c r="AG114" s="19"/>
      <c r="AH114" s="22"/>
      <c r="AI114" s="22"/>
      <c r="AJ114" s="19"/>
      <c r="AK114" s="19"/>
      <c r="AL114" s="19"/>
      <c r="AM114" s="19"/>
      <c r="AN114" s="19"/>
    </row>
    <row r="115" spans="8:40" ht="14.6">
      <c r="H115" s="35"/>
      <c r="I115" s="36"/>
      <c r="J115" s="36"/>
      <c r="K115" s="36"/>
      <c r="L115" s="36"/>
      <c r="M115" s="36"/>
      <c r="N115" s="36"/>
      <c r="O115" s="36"/>
      <c r="P115" s="54"/>
      <c r="Q115" s="54"/>
      <c r="R115" s="54"/>
      <c r="S115" s="54"/>
      <c r="T115" s="54"/>
      <c r="U115" s="54"/>
      <c r="V115" s="54"/>
      <c r="W115" s="54"/>
      <c r="X115" s="54"/>
      <c r="Y115" s="20"/>
      <c r="Z115" s="20"/>
      <c r="AA115" s="20"/>
      <c r="AB115" s="20"/>
      <c r="AC115" s="20"/>
      <c r="AD115" s="20"/>
      <c r="AE115" s="22"/>
      <c r="AF115" s="22"/>
      <c r="AG115" s="19"/>
      <c r="AH115" s="22"/>
      <c r="AI115" s="22"/>
      <c r="AJ115" s="19"/>
      <c r="AK115" s="19"/>
      <c r="AL115" s="19"/>
      <c r="AM115" s="19"/>
      <c r="AN115" s="19"/>
    </row>
    <row r="116" spans="8:40" ht="14.6">
      <c r="H116" s="35"/>
      <c r="I116" s="36"/>
      <c r="J116" s="36"/>
      <c r="K116" s="36"/>
      <c r="L116" s="36"/>
      <c r="M116" s="36"/>
      <c r="N116" s="36"/>
      <c r="O116" s="36"/>
      <c r="P116" s="54"/>
      <c r="Q116" s="54"/>
      <c r="R116" s="54"/>
      <c r="S116" s="54"/>
      <c r="T116" s="54"/>
      <c r="U116" s="54"/>
      <c r="V116" s="54"/>
      <c r="W116" s="54"/>
      <c r="X116" s="54"/>
      <c r="Y116" s="20"/>
      <c r="Z116" s="20"/>
      <c r="AA116" s="20"/>
      <c r="AB116" s="20"/>
      <c r="AC116" s="20"/>
      <c r="AD116" s="20"/>
      <c r="AE116" s="22"/>
      <c r="AF116" s="22"/>
      <c r="AG116" s="19"/>
      <c r="AH116" s="19"/>
      <c r="AI116" s="19"/>
      <c r="AJ116" s="19"/>
      <c r="AK116" s="19"/>
      <c r="AL116" s="19"/>
      <c r="AM116" s="19"/>
      <c r="AN116" s="19"/>
    </row>
    <row r="117" spans="8:40" ht="14.6">
      <c r="H117" s="35"/>
      <c r="I117" s="36"/>
      <c r="J117" s="36"/>
      <c r="K117" s="36"/>
      <c r="L117" s="36"/>
      <c r="M117" s="36"/>
      <c r="N117" s="36"/>
      <c r="O117" s="36"/>
      <c r="P117" s="54"/>
      <c r="Q117" s="54"/>
      <c r="R117" s="54"/>
      <c r="S117" s="54"/>
      <c r="T117" s="54"/>
      <c r="U117" s="54"/>
      <c r="V117" s="54"/>
      <c r="W117" s="54"/>
      <c r="X117" s="54"/>
      <c r="Y117" s="20"/>
      <c r="Z117" s="20"/>
      <c r="AA117" s="20"/>
      <c r="AB117" s="20"/>
      <c r="AC117" s="20"/>
      <c r="AD117" s="20"/>
      <c r="AE117" s="22"/>
      <c r="AF117" s="22"/>
      <c r="AG117" s="19"/>
      <c r="AH117" s="22"/>
      <c r="AI117" s="22"/>
      <c r="AJ117" s="19"/>
      <c r="AK117" s="19"/>
      <c r="AL117" s="19"/>
      <c r="AM117" s="19"/>
      <c r="AN117" s="19"/>
    </row>
    <row r="118" spans="8:40" ht="14.6">
      <c r="H118" s="35"/>
      <c r="I118" s="36"/>
      <c r="J118" s="36"/>
      <c r="K118" s="36"/>
      <c r="L118" s="36"/>
      <c r="M118" s="36"/>
      <c r="N118" s="36"/>
      <c r="O118" s="36"/>
      <c r="P118" s="54"/>
      <c r="Q118" s="54"/>
      <c r="R118" s="54"/>
      <c r="S118" s="54"/>
      <c r="T118" s="54"/>
      <c r="U118" s="54"/>
      <c r="V118" s="54"/>
      <c r="W118" s="54"/>
      <c r="X118" s="54"/>
      <c r="Y118" s="20"/>
      <c r="Z118" s="20"/>
      <c r="AA118" s="20"/>
      <c r="AB118" s="20"/>
      <c r="AC118" s="20"/>
      <c r="AD118" s="20"/>
      <c r="AE118" s="22"/>
      <c r="AF118" s="22"/>
      <c r="AG118" s="19"/>
      <c r="AH118" s="22"/>
      <c r="AI118" s="22"/>
      <c r="AJ118" s="19"/>
      <c r="AK118" s="19"/>
      <c r="AL118" s="19"/>
      <c r="AM118" s="19"/>
      <c r="AN118" s="19"/>
    </row>
    <row r="119" spans="8:40" ht="14.6">
      <c r="H119" s="35"/>
      <c r="I119" s="36"/>
      <c r="J119" s="36"/>
      <c r="K119" s="36"/>
      <c r="L119" s="36"/>
      <c r="M119" s="36"/>
      <c r="N119" s="36"/>
      <c r="O119" s="36"/>
      <c r="P119" s="54"/>
      <c r="Q119" s="54"/>
      <c r="R119" s="54"/>
      <c r="S119" s="54"/>
      <c r="T119" s="54"/>
      <c r="U119" s="54"/>
      <c r="V119" s="54"/>
      <c r="W119" s="54"/>
      <c r="X119" s="54"/>
      <c r="Y119" s="20"/>
      <c r="Z119" s="20"/>
      <c r="AA119" s="20"/>
      <c r="AB119" s="20"/>
      <c r="AC119" s="20"/>
      <c r="AD119" s="20"/>
      <c r="AE119" s="22"/>
      <c r="AF119" s="22"/>
      <c r="AG119" s="19"/>
      <c r="AH119" s="19"/>
      <c r="AI119" s="22"/>
      <c r="AJ119" s="19"/>
      <c r="AK119" s="19"/>
      <c r="AL119" s="19"/>
      <c r="AM119" s="19"/>
      <c r="AN119" s="19"/>
    </row>
    <row r="120" spans="8:40" ht="14.6">
      <c r="H120" s="35"/>
      <c r="I120" s="36"/>
      <c r="J120" s="36"/>
      <c r="K120" s="36"/>
      <c r="L120" s="36"/>
      <c r="M120" s="36"/>
      <c r="N120" s="36"/>
      <c r="O120" s="36"/>
      <c r="P120" s="54"/>
      <c r="Q120" s="54"/>
      <c r="R120" s="54"/>
      <c r="S120" s="54"/>
      <c r="T120" s="54"/>
      <c r="U120" s="54"/>
      <c r="V120" s="54"/>
      <c r="W120" s="54"/>
      <c r="X120" s="54"/>
      <c r="Y120" s="20"/>
      <c r="Z120" s="20"/>
      <c r="AA120" s="20"/>
      <c r="AB120" s="20"/>
      <c r="AC120" s="20"/>
      <c r="AD120" s="20"/>
      <c r="AE120" s="22"/>
      <c r="AF120" s="22"/>
      <c r="AG120" s="19"/>
      <c r="AH120" s="19"/>
      <c r="AI120" s="22"/>
      <c r="AJ120" s="19"/>
      <c r="AK120" s="19"/>
      <c r="AL120" s="19"/>
      <c r="AM120" s="19"/>
      <c r="AN120" s="19"/>
    </row>
    <row r="121" spans="8:40" ht="14.6">
      <c r="H121" s="35"/>
      <c r="I121" s="36"/>
      <c r="J121" s="36"/>
      <c r="K121" s="36"/>
      <c r="L121" s="36"/>
      <c r="M121" s="36"/>
      <c r="N121" s="36"/>
      <c r="O121" s="36"/>
      <c r="P121" s="54"/>
      <c r="Q121" s="54"/>
      <c r="R121" s="54"/>
      <c r="S121" s="54"/>
      <c r="T121" s="54"/>
      <c r="U121" s="54"/>
      <c r="V121" s="54"/>
      <c r="W121" s="54"/>
      <c r="X121" s="54"/>
      <c r="Y121" s="20"/>
      <c r="Z121" s="20"/>
      <c r="AA121" s="20"/>
      <c r="AB121" s="20"/>
      <c r="AC121" s="20"/>
      <c r="AD121" s="20"/>
      <c r="AE121" s="22"/>
      <c r="AF121" s="22"/>
      <c r="AG121" s="19"/>
      <c r="AH121" s="19"/>
      <c r="AI121" s="22"/>
      <c r="AJ121" s="19"/>
      <c r="AK121" s="19"/>
      <c r="AL121" s="19"/>
      <c r="AM121" s="19"/>
      <c r="AN121" s="19"/>
    </row>
    <row r="122" spans="8:40" ht="14.6">
      <c r="H122" s="35"/>
      <c r="I122" s="36"/>
      <c r="J122" s="36"/>
      <c r="K122" s="36"/>
      <c r="L122" s="36"/>
      <c r="M122" s="36"/>
      <c r="N122" s="36"/>
      <c r="O122" s="36"/>
      <c r="P122" s="54"/>
      <c r="Q122" s="54"/>
      <c r="R122" s="54"/>
      <c r="S122" s="54"/>
      <c r="T122" s="54"/>
      <c r="U122" s="54"/>
      <c r="V122" s="54"/>
      <c r="W122" s="54"/>
      <c r="X122" s="54"/>
      <c r="Y122" s="20"/>
      <c r="Z122" s="20"/>
      <c r="AA122" s="20"/>
      <c r="AB122" s="20"/>
      <c r="AC122" s="20"/>
      <c r="AD122" s="20"/>
      <c r="AE122" s="22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8:40" ht="14.6">
      <c r="H123" s="35"/>
      <c r="I123" s="36"/>
      <c r="J123" s="36"/>
      <c r="K123" s="36"/>
      <c r="L123" s="36"/>
      <c r="M123" s="36"/>
      <c r="N123" s="36"/>
      <c r="O123" s="36"/>
      <c r="P123" s="54"/>
      <c r="Q123" s="54"/>
      <c r="R123" s="54"/>
      <c r="S123" s="54"/>
      <c r="T123" s="54"/>
      <c r="U123" s="54"/>
      <c r="V123" s="54"/>
      <c r="W123" s="54"/>
      <c r="X123" s="54"/>
      <c r="Y123" s="20"/>
      <c r="Z123" s="20"/>
      <c r="AA123" s="20"/>
      <c r="AB123" s="20"/>
      <c r="AC123" s="20"/>
      <c r="AD123" s="20"/>
      <c r="AE123" s="22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8:40" ht="14.6"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20"/>
      <c r="Z124" s="20"/>
      <c r="AA124" s="20"/>
      <c r="AB124" s="20"/>
      <c r="AC124" s="20"/>
      <c r="AD124" s="20"/>
      <c r="AE124" s="22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8:40" ht="14.6"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20"/>
      <c r="Z125" s="20"/>
      <c r="AA125" s="20"/>
      <c r="AB125" s="20"/>
      <c r="AC125" s="20"/>
      <c r="AD125" s="20"/>
      <c r="AE125" s="22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8:40" ht="14.6"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20"/>
      <c r="Z126" s="20"/>
      <c r="AA126" s="20"/>
      <c r="AB126" s="20"/>
      <c r="AC126" s="20"/>
      <c r="AD126" s="20"/>
      <c r="AE126" s="22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8:40" ht="14.6"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20"/>
      <c r="Z127" s="20"/>
      <c r="AA127" s="20"/>
      <c r="AB127" s="20"/>
      <c r="AC127" s="20"/>
      <c r="AD127" s="20"/>
      <c r="AE127" s="22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8:40" ht="14.6"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20"/>
      <c r="Z128" s="20"/>
      <c r="AA128" s="20"/>
      <c r="AB128" s="20"/>
      <c r="AC128" s="20"/>
      <c r="AD128" s="20"/>
      <c r="AE128" s="22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9:40" ht="14.6"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20"/>
      <c r="Z129" s="20"/>
      <c r="AA129" s="20"/>
      <c r="AB129" s="20"/>
      <c r="AC129" s="20"/>
      <c r="AD129" s="20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9:40" ht="14.6"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20"/>
      <c r="Z130" s="20"/>
      <c r="AA130" s="20"/>
      <c r="AB130" s="20"/>
      <c r="AC130" s="20"/>
      <c r="AD130" s="20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9:40" ht="14.6"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20"/>
      <c r="Z131" s="20"/>
      <c r="AA131" s="20"/>
      <c r="AB131" s="20"/>
      <c r="AC131" s="20"/>
      <c r="AD131" s="20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9:40" ht="14.6"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20"/>
      <c r="Z132" s="20"/>
      <c r="AA132" s="20"/>
      <c r="AB132" s="20"/>
      <c r="AC132" s="20"/>
      <c r="AD132" s="20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9:40" ht="14.6"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20"/>
      <c r="Z133" s="20"/>
      <c r="AA133" s="20"/>
      <c r="AB133" s="20"/>
      <c r="AC133" s="20"/>
      <c r="AD133" s="20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9:40" ht="14.6"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20"/>
      <c r="Z134" s="20"/>
      <c r="AA134" s="20"/>
      <c r="AB134" s="20"/>
      <c r="AC134" s="20"/>
      <c r="AD134" s="20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9:40" ht="14.6"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20"/>
      <c r="Z135" s="20"/>
      <c r="AA135" s="20"/>
      <c r="AB135" s="20"/>
      <c r="AC135" s="20"/>
      <c r="AD135" s="20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9:40" ht="14.6"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20"/>
      <c r="Z136" s="20"/>
      <c r="AA136" s="20"/>
      <c r="AB136" s="20"/>
      <c r="AC136" s="20"/>
      <c r="AD136" s="20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9:40" ht="14.6"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20"/>
      <c r="Z137" s="20"/>
      <c r="AA137" s="20"/>
      <c r="AB137" s="20"/>
      <c r="AC137" s="20"/>
      <c r="AD137" s="20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9:40" ht="14.6"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20"/>
      <c r="Z138" s="20"/>
      <c r="AA138" s="20"/>
      <c r="AB138" s="20"/>
      <c r="AC138" s="20"/>
      <c r="AD138" s="20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9:40" ht="14.6"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20"/>
      <c r="Z139" s="20"/>
      <c r="AA139" s="20"/>
      <c r="AB139" s="20"/>
      <c r="AC139" s="20"/>
      <c r="AD139" s="20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9:40" ht="14.6"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20"/>
      <c r="Z140" s="20"/>
      <c r="AA140" s="20"/>
      <c r="AB140" s="20"/>
      <c r="AC140" s="20"/>
      <c r="AD140" s="20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9:40" ht="14.6"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20"/>
      <c r="Z141" s="20"/>
      <c r="AA141" s="20"/>
      <c r="AB141" s="20"/>
      <c r="AC141" s="20"/>
      <c r="AD141" s="20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9:40" ht="14.6"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20"/>
      <c r="Z142" s="20"/>
      <c r="AA142" s="20"/>
      <c r="AB142" s="20"/>
      <c r="AC142" s="20"/>
      <c r="AD142" s="20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9:40" ht="14.6"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20"/>
      <c r="Z143" s="20"/>
      <c r="AA143" s="20"/>
      <c r="AB143" s="20"/>
      <c r="AC143" s="20"/>
      <c r="AD143" s="20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9:40" ht="14.6"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20"/>
      <c r="Z144" s="20"/>
      <c r="AA144" s="20"/>
      <c r="AB144" s="20"/>
      <c r="AC144" s="20"/>
      <c r="AD144" s="20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9:40" ht="14.6"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20"/>
      <c r="Z145" s="20"/>
      <c r="AA145" s="20"/>
      <c r="AB145" s="20"/>
      <c r="AC145" s="20"/>
      <c r="AD145" s="20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9:40" ht="14.6"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20"/>
      <c r="Z146" s="20"/>
      <c r="AA146" s="20"/>
      <c r="AB146" s="20"/>
      <c r="AC146" s="20"/>
      <c r="AD146" s="20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9:40" ht="14.6"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20"/>
      <c r="Z147" s="20"/>
      <c r="AA147" s="20"/>
      <c r="AB147" s="20"/>
      <c r="AC147" s="20"/>
      <c r="AD147" s="20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9:40" ht="14.6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20"/>
      <c r="Z148" s="20"/>
      <c r="AA148" s="20"/>
      <c r="AB148" s="20"/>
      <c r="AC148" s="20"/>
      <c r="AD148" s="20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9:40" ht="14.6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20"/>
      <c r="Z149" s="20"/>
      <c r="AA149" s="20"/>
      <c r="AB149" s="20"/>
      <c r="AC149" s="20"/>
      <c r="AD149" s="20"/>
      <c r="AE149" s="38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9:40" ht="14.6"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20"/>
      <c r="Z150" s="20"/>
      <c r="AA150" s="20"/>
      <c r="AB150" s="20"/>
      <c r="AC150" s="20"/>
      <c r="AD150" s="20"/>
      <c r="AE150" s="38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9:40" ht="14.6"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20"/>
      <c r="Z151" s="20"/>
      <c r="AA151" s="20"/>
      <c r="AB151" s="20"/>
      <c r="AC151" s="20"/>
      <c r="AD151" s="20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9:40" ht="14.6"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20"/>
      <c r="Z152" s="20"/>
      <c r="AA152" s="20"/>
      <c r="AB152" s="20"/>
      <c r="AC152" s="20"/>
      <c r="AD152" s="20"/>
      <c r="AE152" s="8"/>
      <c r="AF152" s="19"/>
      <c r="AG152" s="32"/>
      <c r="AH152" s="32"/>
      <c r="AI152" s="19"/>
      <c r="AJ152" s="19"/>
      <c r="AK152" s="19"/>
      <c r="AL152" s="19"/>
      <c r="AM152" s="19"/>
      <c r="AN152" s="19"/>
    </row>
    <row r="153" spans="9:40" ht="14.6"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20"/>
      <c r="Z153" s="20"/>
      <c r="AA153" s="20"/>
      <c r="AB153" s="20"/>
      <c r="AC153" s="20"/>
      <c r="AD153" s="20"/>
      <c r="AE153" s="22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9:40" ht="14.6"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20"/>
      <c r="Z154" s="20"/>
      <c r="AA154" s="20"/>
      <c r="AB154" s="20"/>
      <c r="AC154" s="20"/>
      <c r="AD154" s="20"/>
      <c r="AE154" s="22"/>
      <c r="AF154" s="19"/>
      <c r="AG154" s="32"/>
      <c r="AH154" s="32"/>
      <c r="AI154" s="19"/>
      <c r="AJ154" s="19"/>
      <c r="AK154" s="19"/>
      <c r="AL154" s="19"/>
      <c r="AM154" s="19"/>
      <c r="AN154" s="19"/>
    </row>
    <row r="155" spans="9:40" ht="14.6"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20"/>
      <c r="Z155" s="20"/>
      <c r="AA155" s="20"/>
      <c r="AB155" s="20"/>
      <c r="AC155" s="20"/>
      <c r="AD155" s="20"/>
      <c r="AE155" s="22"/>
      <c r="AF155" s="19"/>
      <c r="AG155" s="22"/>
      <c r="AH155" s="22"/>
      <c r="AI155" s="19"/>
      <c r="AJ155" s="19"/>
      <c r="AK155" s="19"/>
      <c r="AL155" s="19"/>
      <c r="AM155" s="19"/>
      <c r="AN155" s="19"/>
    </row>
    <row r="156" spans="9:40" ht="14.6"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20"/>
      <c r="Z156" s="20"/>
      <c r="AA156" s="20"/>
      <c r="AB156" s="20"/>
      <c r="AC156" s="20"/>
      <c r="AD156" s="20"/>
      <c r="AE156" s="22"/>
      <c r="AF156" s="19"/>
      <c r="AG156" s="29"/>
      <c r="AH156" s="22"/>
      <c r="AI156" s="19"/>
      <c r="AJ156" s="19"/>
      <c r="AK156" s="19"/>
      <c r="AL156" s="19"/>
      <c r="AM156" s="19"/>
      <c r="AN156" s="19"/>
    </row>
    <row r="157" spans="9:40" ht="14.6"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20"/>
      <c r="Z157" s="20"/>
      <c r="AA157" s="20"/>
      <c r="AB157" s="20"/>
      <c r="AC157" s="20"/>
      <c r="AD157" s="20"/>
      <c r="AE157" s="22"/>
      <c r="AF157" s="19"/>
      <c r="AG157" s="22"/>
      <c r="AH157" s="22"/>
      <c r="AI157" s="19"/>
      <c r="AJ157" s="19"/>
      <c r="AK157" s="19"/>
      <c r="AL157" s="19"/>
      <c r="AM157" s="19"/>
      <c r="AN157" s="19"/>
    </row>
    <row r="158" spans="9:40" ht="14.6"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20"/>
      <c r="Z158" s="20"/>
      <c r="AA158" s="20"/>
      <c r="AB158" s="20"/>
      <c r="AC158" s="20"/>
      <c r="AD158" s="20"/>
      <c r="AE158" s="22"/>
      <c r="AF158" s="19"/>
      <c r="AG158" s="22"/>
      <c r="AH158" s="22"/>
      <c r="AI158" s="19"/>
      <c r="AJ158" s="19"/>
      <c r="AK158" s="19"/>
      <c r="AL158" s="19"/>
      <c r="AM158" s="19"/>
      <c r="AN158" s="19"/>
    </row>
    <row r="159" spans="9:40" ht="14.6"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20"/>
      <c r="Z159" s="20"/>
      <c r="AA159" s="20"/>
      <c r="AB159" s="20"/>
      <c r="AC159" s="20"/>
      <c r="AD159" s="20"/>
      <c r="AE159" s="22"/>
      <c r="AF159" s="19"/>
      <c r="AG159" s="22"/>
      <c r="AH159" s="22"/>
      <c r="AI159" s="19"/>
      <c r="AJ159" s="19"/>
      <c r="AK159" s="19"/>
      <c r="AL159" s="19"/>
      <c r="AM159" s="19"/>
      <c r="AN159" s="19"/>
    </row>
    <row r="160" spans="9:40" ht="14.6"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20"/>
      <c r="Z160" s="20"/>
      <c r="AA160" s="20"/>
      <c r="AB160" s="20"/>
      <c r="AC160" s="20"/>
      <c r="AD160" s="20"/>
      <c r="AE160" s="22"/>
      <c r="AF160" s="19"/>
      <c r="AG160" s="22"/>
      <c r="AH160" s="22"/>
      <c r="AI160" s="19"/>
      <c r="AJ160" s="19"/>
      <c r="AK160" s="19"/>
      <c r="AL160" s="19"/>
      <c r="AM160" s="19"/>
      <c r="AN160" s="19"/>
    </row>
    <row r="161" spans="9:40" ht="14.6"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20"/>
      <c r="Z161" s="20"/>
      <c r="AA161" s="20"/>
      <c r="AB161" s="20"/>
      <c r="AC161" s="20"/>
      <c r="AD161" s="20"/>
      <c r="AE161" s="22"/>
      <c r="AF161" s="19"/>
      <c r="AG161" s="22"/>
      <c r="AH161" s="22"/>
      <c r="AI161" s="19"/>
      <c r="AJ161" s="19"/>
      <c r="AK161" s="19"/>
      <c r="AL161" s="19"/>
      <c r="AM161" s="19"/>
      <c r="AN161" s="19"/>
    </row>
    <row r="162" spans="9:40" ht="14.6"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20"/>
      <c r="Z162" s="20"/>
      <c r="AA162" s="20"/>
      <c r="AB162" s="20"/>
      <c r="AC162" s="20"/>
      <c r="AD162" s="20"/>
      <c r="AE162" s="22"/>
      <c r="AF162" s="19"/>
      <c r="AG162" s="22"/>
      <c r="AH162" s="22"/>
      <c r="AI162" s="19"/>
      <c r="AJ162" s="19"/>
      <c r="AK162" s="19"/>
      <c r="AL162" s="19"/>
      <c r="AM162" s="19"/>
      <c r="AN162" s="19"/>
    </row>
    <row r="163" spans="9:40" ht="14.6"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20"/>
      <c r="Z163" s="20"/>
      <c r="AA163" s="20"/>
      <c r="AB163" s="20"/>
      <c r="AC163" s="20"/>
      <c r="AD163" s="20"/>
      <c r="AE163" s="22"/>
      <c r="AF163" s="19"/>
      <c r="AG163" s="29"/>
      <c r="AH163" s="22"/>
      <c r="AI163" s="19"/>
      <c r="AJ163" s="19"/>
      <c r="AK163" s="19"/>
      <c r="AL163" s="19"/>
      <c r="AM163" s="19"/>
      <c r="AN163" s="19"/>
    </row>
    <row r="164" spans="9:40" ht="14.6"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20"/>
      <c r="Z164" s="20"/>
      <c r="AA164" s="20"/>
      <c r="AB164" s="20"/>
      <c r="AC164" s="20"/>
      <c r="AD164" s="20"/>
      <c r="AE164" s="22"/>
      <c r="AF164" s="19"/>
      <c r="AG164" s="22"/>
      <c r="AH164" s="22"/>
      <c r="AI164" s="19"/>
      <c r="AJ164" s="19"/>
      <c r="AK164" s="19"/>
      <c r="AL164" s="19"/>
      <c r="AM164" s="19"/>
      <c r="AN164" s="19"/>
    </row>
    <row r="165" spans="9:40" ht="14.6"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20"/>
      <c r="Z165" s="20"/>
      <c r="AA165" s="20"/>
      <c r="AB165" s="20"/>
      <c r="AC165" s="20"/>
      <c r="AD165" s="20"/>
      <c r="AE165" s="22"/>
      <c r="AF165" s="19"/>
      <c r="AG165" s="19"/>
      <c r="AH165" s="22"/>
      <c r="AI165" s="19"/>
      <c r="AJ165" s="19"/>
      <c r="AK165" s="19"/>
      <c r="AL165" s="19"/>
      <c r="AM165" s="19"/>
      <c r="AN165" s="19"/>
    </row>
    <row r="166" spans="9:40" ht="14.6"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20"/>
      <c r="Z166" s="20"/>
      <c r="AA166" s="20"/>
      <c r="AB166" s="20"/>
      <c r="AC166" s="20"/>
      <c r="AD166" s="20"/>
      <c r="AE166" s="22"/>
      <c r="AF166" s="19"/>
      <c r="AG166" s="22"/>
      <c r="AH166" s="22"/>
      <c r="AI166" s="19"/>
      <c r="AJ166" s="19"/>
      <c r="AK166" s="19"/>
      <c r="AL166" s="19"/>
      <c r="AM166" s="19"/>
      <c r="AN166" s="19"/>
    </row>
    <row r="167" spans="9:40" ht="14.6"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20"/>
      <c r="Z167" s="20"/>
      <c r="AA167" s="20"/>
      <c r="AB167" s="20"/>
      <c r="AC167" s="20"/>
      <c r="AD167" s="20"/>
      <c r="AE167" s="22"/>
      <c r="AF167" s="19"/>
      <c r="AG167" s="22"/>
      <c r="AH167" s="22"/>
      <c r="AI167" s="19"/>
      <c r="AJ167" s="19"/>
      <c r="AK167" s="19"/>
      <c r="AL167" s="19"/>
      <c r="AM167" s="19"/>
      <c r="AN167" s="19"/>
    </row>
    <row r="168" spans="9:40" ht="14.6"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20"/>
      <c r="Z168" s="20"/>
      <c r="AA168" s="20"/>
      <c r="AB168" s="20"/>
      <c r="AC168" s="20"/>
      <c r="AD168" s="20"/>
      <c r="AE168" s="22"/>
      <c r="AF168" s="19"/>
      <c r="AG168" s="22"/>
      <c r="AH168" s="22"/>
      <c r="AI168" s="19"/>
      <c r="AJ168" s="19"/>
      <c r="AK168" s="19"/>
      <c r="AL168" s="19"/>
      <c r="AM168" s="19"/>
      <c r="AN168" s="19"/>
    </row>
    <row r="169" spans="9:40" ht="14.6"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20"/>
      <c r="Z169" s="20"/>
      <c r="AA169" s="20"/>
      <c r="AB169" s="20"/>
      <c r="AC169" s="20"/>
      <c r="AD169" s="20"/>
      <c r="AE169" s="22"/>
      <c r="AF169" s="19"/>
      <c r="AG169" s="22"/>
      <c r="AH169" s="22"/>
      <c r="AI169" s="19"/>
      <c r="AJ169" s="19"/>
      <c r="AK169" s="19"/>
      <c r="AL169" s="19"/>
      <c r="AM169" s="19"/>
      <c r="AN169" s="19"/>
    </row>
    <row r="170" spans="9:40" ht="14.6"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20"/>
      <c r="Z170" s="20"/>
      <c r="AA170" s="20"/>
      <c r="AB170" s="20"/>
      <c r="AC170" s="20"/>
      <c r="AD170" s="20"/>
      <c r="AE170" s="22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9:40" ht="14.6"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20"/>
      <c r="Z171" s="20"/>
      <c r="AA171" s="20"/>
      <c r="AB171" s="20"/>
      <c r="AC171" s="20"/>
      <c r="AD171" s="20"/>
      <c r="AE171" s="22"/>
      <c r="AF171" s="19"/>
      <c r="AG171" s="22"/>
      <c r="AH171" s="22"/>
      <c r="AI171" s="19"/>
      <c r="AJ171" s="19"/>
      <c r="AK171" s="19"/>
      <c r="AL171" s="19"/>
      <c r="AM171" s="19"/>
      <c r="AN171" s="19"/>
    </row>
    <row r="172" spans="9:40" ht="14.6"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20"/>
      <c r="Z172" s="20"/>
      <c r="AA172" s="20"/>
      <c r="AB172" s="20"/>
      <c r="AC172" s="20"/>
      <c r="AD172" s="20"/>
      <c r="AE172" s="22"/>
      <c r="AF172" s="19"/>
      <c r="AG172" s="22"/>
      <c r="AH172" s="22"/>
      <c r="AI172" s="19"/>
      <c r="AJ172" s="19"/>
      <c r="AK172" s="19"/>
      <c r="AL172" s="19"/>
      <c r="AM172" s="19"/>
      <c r="AN172" s="19"/>
    </row>
    <row r="173" spans="9:40" ht="14.6"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20"/>
      <c r="Z173" s="20"/>
      <c r="AA173" s="20"/>
      <c r="AB173" s="20"/>
      <c r="AC173" s="20"/>
      <c r="AD173" s="20"/>
      <c r="AE173" s="22"/>
      <c r="AF173" s="19"/>
      <c r="AG173" s="19"/>
      <c r="AH173" s="22"/>
      <c r="AI173" s="19"/>
      <c r="AJ173" s="19"/>
      <c r="AK173" s="19"/>
      <c r="AL173" s="19"/>
      <c r="AM173" s="19"/>
      <c r="AN173" s="19"/>
    </row>
    <row r="174" spans="9:40" ht="14.6"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20"/>
      <c r="Z174" s="20"/>
      <c r="AA174" s="20"/>
      <c r="AB174" s="20"/>
      <c r="AC174" s="20"/>
      <c r="AD174" s="20"/>
      <c r="AE174" s="22"/>
      <c r="AF174" s="19"/>
      <c r="AG174" s="19"/>
      <c r="AH174" s="22"/>
      <c r="AI174" s="19"/>
      <c r="AJ174" s="19"/>
      <c r="AK174" s="19"/>
      <c r="AL174" s="19"/>
      <c r="AM174" s="19"/>
      <c r="AN174" s="19"/>
    </row>
    <row r="175" spans="9:40" ht="14.6"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20"/>
      <c r="Z175" s="20"/>
      <c r="AA175" s="20"/>
      <c r="AB175" s="20"/>
      <c r="AC175" s="20"/>
      <c r="AD175" s="20"/>
      <c r="AE175" s="22"/>
      <c r="AF175" s="19"/>
      <c r="AG175" s="19"/>
      <c r="AH175" s="22"/>
      <c r="AI175" s="19"/>
      <c r="AJ175" s="19"/>
      <c r="AK175" s="19"/>
      <c r="AL175" s="19"/>
      <c r="AM175" s="19"/>
      <c r="AN175" s="19"/>
    </row>
    <row r="176" spans="9:40" ht="14.6"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20"/>
      <c r="Z176" s="20"/>
      <c r="AA176" s="20"/>
      <c r="AB176" s="20"/>
      <c r="AC176" s="20"/>
      <c r="AD176" s="20"/>
      <c r="AE176" s="19"/>
      <c r="AF176" s="19"/>
      <c r="AG176" s="19"/>
      <c r="AH176" s="19"/>
      <c r="AI176" s="41"/>
      <c r="AJ176" s="19"/>
      <c r="AK176" s="19"/>
      <c r="AL176" s="19"/>
      <c r="AM176" s="19"/>
      <c r="AN176" s="19"/>
    </row>
    <row r="177" spans="9:40" ht="14.6"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20"/>
      <c r="Z177" s="20"/>
      <c r="AA177" s="20"/>
      <c r="AB177" s="20"/>
      <c r="AC177" s="20"/>
      <c r="AD177" s="20"/>
      <c r="AE177" s="19"/>
      <c r="AF177" s="19"/>
      <c r="AG177" s="19"/>
      <c r="AH177" s="19"/>
      <c r="AI177" s="41"/>
      <c r="AJ177" s="19"/>
      <c r="AK177" s="19"/>
      <c r="AL177" s="19"/>
      <c r="AM177" s="19"/>
      <c r="AN177" s="19"/>
    </row>
    <row r="178" spans="9:40" ht="14.6"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20"/>
      <c r="Z178" s="20"/>
      <c r="AA178" s="20"/>
      <c r="AB178" s="20"/>
      <c r="AC178" s="20"/>
      <c r="AD178" s="20"/>
      <c r="AE178" s="19"/>
      <c r="AF178" s="19"/>
      <c r="AG178" s="19"/>
      <c r="AH178" s="19"/>
      <c r="AI178" s="41"/>
      <c r="AJ178" s="19"/>
      <c r="AK178" s="19"/>
      <c r="AL178" s="19"/>
      <c r="AM178" s="19"/>
      <c r="AN178" s="19"/>
    </row>
    <row r="179" spans="9:40" ht="14.6"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20"/>
      <c r="Z179" s="20"/>
      <c r="AA179" s="20"/>
      <c r="AB179" s="20"/>
      <c r="AC179" s="20"/>
      <c r="AD179" s="20"/>
      <c r="AE179" s="19"/>
      <c r="AF179" s="19"/>
      <c r="AG179" s="19"/>
      <c r="AH179" s="19"/>
      <c r="AI179" s="41"/>
      <c r="AJ179" s="19"/>
      <c r="AK179" s="19"/>
      <c r="AL179" s="19"/>
      <c r="AM179" s="19"/>
      <c r="AN179" s="19"/>
    </row>
    <row r="180" spans="9:40" ht="14.6"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20"/>
      <c r="Z180" s="20"/>
      <c r="AA180" s="20"/>
      <c r="AB180" s="20"/>
      <c r="AC180" s="20"/>
      <c r="AD180" s="20"/>
      <c r="AE180" s="8"/>
      <c r="AF180" s="19"/>
      <c r="AG180" s="32"/>
      <c r="AH180" s="32"/>
      <c r="AI180" s="41"/>
      <c r="AJ180" s="19"/>
      <c r="AK180" s="19"/>
      <c r="AL180" s="19"/>
      <c r="AM180" s="19"/>
      <c r="AN180" s="19"/>
    </row>
    <row r="181" spans="9:40" ht="14.6"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20"/>
      <c r="Z181" s="20"/>
      <c r="AA181" s="20"/>
      <c r="AB181" s="20"/>
      <c r="AC181" s="20"/>
      <c r="AD181" s="20"/>
      <c r="AE181" s="42"/>
      <c r="AF181" s="41"/>
      <c r="AG181" s="41"/>
      <c r="AH181" s="41"/>
      <c r="AI181" s="41"/>
      <c r="AJ181" s="19"/>
      <c r="AK181" s="19"/>
      <c r="AL181" s="19"/>
      <c r="AM181" s="19"/>
      <c r="AN181" s="19"/>
    </row>
    <row r="182" spans="9:40" ht="14.6"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20"/>
      <c r="Z182" s="20"/>
      <c r="AA182" s="20"/>
      <c r="AB182" s="20"/>
      <c r="AC182" s="20"/>
      <c r="AD182" s="20"/>
      <c r="AE182" s="42"/>
      <c r="AF182" s="41"/>
      <c r="AG182" s="42"/>
      <c r="AH182" s="42"/>
      <c r="AI182" s="43"/>
      <c r="AJ182" s="19"/>
      <c r="AK182" s="19"/>
      <c r="AL182" s="19"/>
      <c r="AM182" s="19"/>
      <c r="AN182" s="19"/>
    </row>
    <row r="183" spans="9:40" ht="14.6"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20"/>
      <c r="Z183" s="20"/>
      <c r="AA183" s="20"/>
      <c r="AB183" s="20"/>
      <c r="AC183" s="20"/>
      <c r="AD183" s="20"/>
      <c r="AE183" s="42"/>
      <c r="AF183" s="41"/>
      <c r="AG183" s="42"/>
      <c r="AH183" s="42"/>
      <c r="AI183" s="41"/>
      <c r="AJ183" s="19"/>
      <c r="AK183" s="19"/>
      <c r="AL183" s="19"/>
      <c r="AM183" s="19"/>
      <c r="AN183" s="19"/>
    </row>
    <row r="184" spans="9:40" ht="14.6"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20"/>
      <c r="Z184" s="20"/>
      <c r="AA184" s="20"/>
      <c r="AB184" s="20"/>
      <c r="AC184" s="20"/>
      <c r="AD184" s="20"/>
      <c r="AE184" s="42"/>
      <c r="AF184" s="41"/>
      <c r="AG184" s="41"/>
      <c r="AH184" s="42"/>
      <c r="AI184" s="41"/>
      <c r="AJ184" s="19"/>
      <c r="AK184" s="19"/>
      <c r="AL184" s="19"/>
      <c r="AM184" s="19"/>
      <c r="AN184" s="19"/>
    </row>
    <row r="185" spans="9:40" ht="14.6"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20"/>
      <c r="Z185" s="20"/>
      <c r="AA185" s="20"/>
      <c r="AB185" s="20"/>
      <c r="AC185" s="20"/>
      <c r="AD185" s="20"/>
      <c r="AE185" s="42"/>
      <c r="AF185" s="41"/>
      <c r="AG185" s="41"/>
      <c r="AH185" s="42"/>
      <c r="AI185" s="41"/>
      <c r="AJ185" s="19"/>
      <c r="AK185" s="19"/>
      <c r="AL185" s="19"/>
      <c r="AM185" s="19"/>
      <c r="AN185" s="19"/>
    </row>
    <row r="186" spans="9:40" ht="14.6"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20"/>
      <c r="Z186" s="20"/>
      <c r="AA186" s="20"/>
      <c r="AB186" s="20"/>
      <c r="AC186" s="20"/>
      <c r="AD186" s="20"/>
      <c r="AE186" s="42"/>
      <c r="AF186" s="41"/>
      <c r="AG186" s="41"/>
      <c r="AH186" s="42"/>
      <c r="AI186" s="41"/>
      <c r="AJ186" s="19"/>
      <c r="AK186" s="19"/>
      <c r="AL186" s="19"/>
      <c r="AM186" s="19"/>
      <c r="AN186" s="19"/>
    </row>
    <row r="187" spans="9:40" ht="14.6"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20"/>
      <c r="Z187" s="20"/>
      <c r="AA187" s="20"/>
      <c r="AB187" s="20"/>
      <c r="AC187" s="20"/>
      <c r="AD187" s="20"/>
      <c r="AE187" s="42"/>
      <c r="AF187" s="41"/>
      <c r="AG187" s="41"/>
      <c r="AH187" s="42"/>
      <c r="AI187" s="19"/>
      <c r="AJ187" s="19"/>
      <c r="AK187" s="19"/>
      <c r="AL187" s="19"/>
      <c r="AM187" s="19"/>
      <c r="AN187" s="19"/>
    </row>
    <row r="188" spans="9:40" ht="14.6"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20"/>
      <c r="Z188" s="20"/>
      <c r="AA188" s="20"/>
      <c r="AB188" s="20"/>
      <c r="AC188" s="20"/>
      <c r="AD188" s="20"/>
      <c r="AE188" s="42"/>
      <c r="AF188" s="41"/>
      <c r="AG188" s="41"/>
      <c r="AH188" s="42"/>
      <c r="AI188" s="19"/>
      <c r="AJ188" s="19"/>
      <c r="AK188" s="19"/>
      <c r="AL188" s="19"/>
      <c r="AM188" s="19"/>
      <c r="AN188" s="19"/>
    </row>
    <row r="189" spans="9:40" ht="14.6"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20"/>
      <c r="Z189" s="20"/>
      <c r="AA189" s="20"/>
      <c r="AB189" s="20"/>
      <c r="AC189" s="20"/>
      <c r="AD189" s="20"/>
      <c r="AE189" s="42"/>
      <c r="AF189" s="41"/>
      <c r="AG189" s="41"/>
      <c r="AH189" s="42"/>
      <c r="AI189" s="19"/>
      <c r="AJ189" s="19"/>
      <c r="AK189" s="19"/>
      <c r="AL189" s="19"/>
      <c r="AM189" s="19"/>
      <c r="AN189" s="19"/>
    </row>
    <row r="190" spans="9:40" ht="14.6"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20"/>
      <c r="Z190" s="20"/>
      <c r="AA190" s="20"/>
      <c r="AB190" s="20"/>
      <c r="AC190" s="20"/>
      <c r="AD190" s="20"/>
      <c r="AE190" s="42"/>
      <c r="AF190" s="41"/>
      <c r="AG190" s="41"/>
      <c r="AH190" s="42"/>
      <c r="AI190" s="19"/>
      <c r="AJ190" s="19"/>
      <c r="AK190" s="19"/>
      <c r="AL190" s="19"/>
      <c r="AM190" s="19"/>
      <c r="AN190" s="19"/>
    </row>
    <row r="191" spans="9:40" ht="14.6"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20"/>
      <c r="Z191" s="20"/>
      <c r="AA191" s="20"/>
      <c r="AB191" s="20"/>
      <c r="AC191" s="20"/>
      <c r="AD191" s="20"/>
      <c r="AE191" s="42"/>
      <c r="AF191" s="41"/>
      <c r="AG191" s="41"/>
      <c r="AH191" s="42"/>
      <c r="AI191" s="19"/>
      <c r="AJ191" s="19"/>
      <c r="AK191" s="19"/>
      <c r="AL191" s="19"/>
      <c r="AM191" s="19"/>
      <c r="AN191" s="19"/>
    </row>
    <row r="192" spans="9:40" ht="14.6"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20"/>
      <c r="Z192" s="20"/>
      <c r="AA192" s="20"/>
      <c r="AB192" s="20"/>
      <c r="AC192" s="20"/>
      <c r="AD192" s="20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9:40" ht="14.6"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20"/>
      <c r="Z193" s="20"/>
      <c r="AA193" s="20"/>
      <c r="AB193" s="20"/>
      <c r="AC193" s="20"/>
      <c r="AD193" s="20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9:40" ht="14.6"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20"/>
      <c r="Z194" s="20"/>
      <c r="AA194" s="20"/>
      <c r="AB194" s="20"/>
      <c r="AC194" s="20"/>
      <c r="AD194" s="20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9:40" ht="14.6"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20"/>
      <c r="Z195" s="20"/>
      <c r="AA195" s="20"/>
      <c r="AB195" s="20"/>
      <c r="AC195" s="20"/>
      <c r="AD195" s="20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9:40" ht="14.6"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20"/>
      <c r="Z196" s="20"/>
      <c r="AA196" s="20"/>
      <c r="AB196" s="20"/>
      <c r="AC196" s="20"/>
      <c r="AD196" s="20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9:40" ht="14.6"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20"/>
      <c r="Z197" s="20"/>
      <c r="AA197" s="20"/>
      <c r="AB197" s="20"/>
      <c r="AC197" s="20"/>
      <c r="AD197" s="20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9:40" ht="14.6"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20"/>
      <c r="Z198" s="20"/>
      <c r="AA198" s="20"/>
      <c r="AB198" s="20"/>
      <c r="AC198" s="20"/>
      <c r="AD198" s="20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9:40" ht="14.6"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20"/>
      <c r="Z199" s="20"/>
      <c r="AA199" s="20"/>
      <c r="AB199" s="20"/>
      <c r="AC199" s="20"/>
      <c r="AD199" s="20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9:40" ht="14.6"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20"/>
      <c r="Z200" s="20"/>
      <c r="AA200" s="20"/>
      <c r="AB200" s="20"/>
      <c r="AC200" s="20"/>
      <c r="AD200" s="20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9:40" ht="14.6"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20"/>
      <c r="Z201" s="20"/>
      <c r="AA201" s="20"/>
      <c r="AB201" s="20"/>
      <c r="AC201" s="20"/>
      <c r="AD201" s="20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9:40" ht="14.6"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20"/>
      <c r="Z202" s="20"/>
      <c r="AA202" s="20"/>
      <c r="AB202" s="20"/>
      <c r="AC202" s="20"/>
      <c r="AD202" s="20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9:40" ht="14.6"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20"/>
      <c r="Z203" s="20"/>
      <c r="AA203" s="20"/>
      <c r="AB203" s="20"/>
      <c r="AC203" s="20"/>
      <c r="AD203" s="20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9:40" ht="14.6"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20"/>
      <c r="Z204" s="20"/>
      <c r="AA204" s="20"/>
      <c r="AB204" s="20"/>
      <c r="AC204" s="20"/>
      <c r="AD204" s="20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9:40" ht="14.6"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20"/>
      <c r="Z205" s="20"/>
      <c r="AA205" s="20"/>
      <c r="AB205" s="20"/>
      <c r="AC205" s="20"/>
      <c r="AD205" s="20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9:40" ht="14.6"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20"/>
      <c r="Z206" s="20"/>
      <c r="AA206" s="20"/>
      <c r="AB206" s="20"/>
      <c r="AC206" s="20"/>
      <c r="AD206" s="20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9:40" ht="14.6"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20"/>
      <c r="Z207" s="20"/>
      <c r="AA207" s="20"/>
      <c r="AB207" s="20"/>
      <c r="AC207" s="20"/>
      <c r="AD207" s="20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9:40" ht="14.6"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20"/>
      <c r="Z208" s="20"/>
      <c r="AA208" s="20"/>
      <c r="AB208" s="20"/>
      <c r="AC208" s="20"/>
      <c r="AD208" s="20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9:40" ht="14.6"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20"/>
      <c r="Z209" s="20"/>
      <c r="AA209" s="20"/>
      <c r="AB209" s="20"/>
      <c r="AC209" s="20"/>
      <c r="AD209" s="20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9:40" ht="14.6"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20"/>
      <c r="Z210" s="20"/>
      <c r="AA210" s="20"/>
      <c r="AB210" s="20"/>
      <c r="AC210" s="20"/>
      <c r="AD210" s="20"/>
    </row>
    <row r="211" spans="9:40" ht="14.6"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20"/>
      <c r="Z211" s="20"/>
      <c r="AA211" s="20"/>
      <c r="AB211" s="20"/>
      <c r="AC211" s="20"/>
      <c r="AD211" s="20"/>
    </row>
    <row r="212" spans="9:40" ht="14.6"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20"/>
      <c r="Z212" s="20"/>
      <c r="AA212" s="20"/>
      <c r="AB212" s="20"/>
      <c r="AC212" s="20"/>
      <c r="AD212" s="20"/>
    </row>
    <row r="213" spans="9:40" ht="14.6"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20"/>
      <c r="Z213" s="20"/>
      <c r="AA213" s="20"/>
      <c r="AB213" s="20"/>
      <c r="AC213" s="20"/>
      <c r="AD213" s="20"/>
    </row>
    <row r="214" spans="9:40" ht="14.6"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20"/>
      <c r="Z214" s="20"/>
      <c r="AA214" s="20"/>
      <c r="AB214" s="20"/>
      <c r="AC214" s="20"/>
      <c r="AD214" s="20"/>
    </row>
    <row r="215" spans="9:40" ht="14.6">
      <c r="R215" s="63"/>
      <c r="S215" s="64"/>
      <c r="T215" s="65"/>
      <c r="U215" s="63"/>
      <c r="V215" s="66"/>
      <c r="W215" s="67"/>
      <c r="X215" s="68"/>
      <c r="Y215" s="44"/>
      <c r="Z215" s="44"/>
      <c r="AA215" s="44"/>
      <c r="AB215" s="44"/>
      <c r="AC215" s="44"/>
    </row>
    <row r="216" spans="9:40" ht="14.6">
      <c r="R216" s="63"/>
      <c r="S216" s="64"/>
      <c r="T216" s="65"/>
      <c r="U216" s="63"/>
      <c r="V216" s="66"/>
      <c r="W216" s="67"/>
      <c r="X216" s="68"/>
      <c r="Y216" s="44"/>
      <c r="Z216" s="44"/>
      <c r="AA216" s="44"/>
      <c r="AB216" s="44"/>
      <c r="AC216" s="44"/>
    </row>
    <row r="217" spans="9:40" ht="14.6">
      <c r="R217" s="63"/>
      <c r="S217" s="64"/>
      <c r="T217" s="65"/>
      <c r="U217" s="63"/>
      <c r="V217" s="66"/>
      <c r="W217" s="67"/>
      <c r="X217" s="68"/>
      <c r="Y217" s="44"/>
      <c r="Z217" s="44"/>
      <c r="AA217" s="44"/>
      <c r="AB217" s="44"/>
      <c r="AC217" s="44"/>
    </row>
    <row r="218" spans="9:40" ht="14.6">
      <c r="R218" s="63"/>
      <c r="S218" s="64"/>
      <c r="T218" s="65"/>
      <c r="U218" s="63"/>
      <c r="V218" s="66"/>
      <c r="W218" s="67"/>
      <c r="X218" s="68"/>
      <c r="Y218" s="44"/>
      <c r="Z218" s="44"/>
      <c r="AA218" s="44"/>
      <c r="AB218" s="44"/>
      <c r="AC218" s="44"/>
    </row>
    <row r="219" spans="9:40" ht="14.6">
      <c r="R219" s="63"/>
      <c r="S219" s="64"/>
      <c r="T219" s="65"/>
      <c r="U219" s="63"/>
      <c r="V219" s="66"/>
      <c r="W219" s="67"/>
      <c r="X219" s="68"/>
      <c r="Y219" s="44"/>
      <c r="Z219" s="44"/>
      <c r="AA219" s="44"/>
      <c r="AB219" s="44"/>
      <c r="AC219" s="44"/>
    </row>
    <row r="220" spans="9:40" ht="14.6">
      <c r="R220" s="63"/>
      <c r="S220" s="64"/>
      <c r="T220" s="65"/>
      <c r="U220" s="63"/>
      <c r="V220" s="66"/>
      <c r="W220" s="67"/>
      <c r="X220" s="68"/>
      <c r="Y220" s="44"/>
      <c r="Z220" s="44"/>
      <c r="AA220" s="44"/>
      <c r="AB220" s="44"/>
      <c r="AC220" s="44"/>
    </row>
    <row r="221" spans="9:40" ht="14.6">
      <c r="R221" s="63"/>
      <c r="S221" s="64"/>
      <c r="T221" s="65"/>
      <c r="U221" s="63"/>
      <c r="V221" s="66"/>
      <c r="W221" s="67"/>
      <c r="X221" s="68"/>
      <c r="Y221" s="44"/>
      <c r="Z221" s="44"/>
      <c r="AA221" s="44"/>
      <c r="AB221" s="44"/>
      <c r="AC221" s="44"/>
    </row>
    <row r="222" spans="9:40" ht="14.6">
      <c r="R222" s="63"/>
      <c r="S222" s="64"/>
      <c r="T222" s="65"/>
      <c r="U222" s="63"/>
      <c r="V222" s="66"/>
      <c r="W222" s="67"/>
      <c r="X222" s="68"/>
      <c r="Y222" s="44"/>
      <c r="Z222" s="44"/>
      <c r="AA222" s="44"/>
      <c r="AB222" s="44"/>
      <c r="AC222" s="44"/>
    </row>
    <row r="223" spans="9:40" ht="14.6">
      <c r="R223" s="63"/>
      <c r="S223" s="64"/>
      <c r="T223" s="65"/>
      <c r="U223" s="63"/>
      <c r="V223" s="66"/>
      <c r="W223" s="67"/>
      <c r="X223" s="68"/>
      <c r="Y223" s="44"/>
      <c r="Z223" s="44"/>
      <c r="AA223" s="44"/>
      <c r="AB223" s="44"/>
      <c r="AC223" s="44"/>
    </row>
    <row r="224" spans="9:40" ht="14.6">
      <c r="R224" s="63"/>
      <c r="S224" s="64"/>
      <c r="T224" s="65"/>
      <c r="U224" s="63"/>
      <c r="V224" s="66"/>
      <c r="W224" s="67"/>
      <c r="X224" s="68"/>
      <c r="Y224" s="44"/>
      <c r="Z224" s="44"/>
      <c r="AA224" s="44"/>
      <c r="AB224" s="44"/>
      <c r="AC224" s="44"/>
    </row>
    <row r="225" spans="18:36" ht="14.6">
      <c r="R225" s="63"/>
      <c r="S225" s="64"/>
      <c r="T225" s="65"/>
      <c r="U225" s="63"/>
      <c r="V225" s="66"/>
      <c r="W225" s="67"/>
      <c r="X225" s="68"/>
      <c r="Y225" s="44"/>
      <c r="Z225" s="44"/>
      <c r="AA225" s="44"/>
      <c r="AB225" s="44"/>
      <c r="AC225" s="44"/>
    </row>
    <row r="226" spans="18:36" ht="14.6">
      <c r="R226" s="63"/>
      <c r="S226" s="64"/>
      <c r="T226" s="65"/>
      <c r="U226" s="63"/>
      <c r="V226" s="66"/>
      <c r="W226" s="67"/>
      <c r="X226" s="68"/>
      <c r="Y226" s="44"/>
      <c r="Z226" s="44"/>
      <c r="AA226" s="44"/>
      <c r="AB226" s="44"/>
      <c r="AC226" s="44"/>
    </row>
    <row r="227" spans="18:36" ht="14.6">
      <c r="R227" s="63"/>
      <c r="S227" s="64"/>
      <c r="T227" s="65"/>
      <c r="U227" s="63"/>
      <c r="V227" s="66"/>
      <c r="W227" s="67"/>
      <c r="X227" s="68"/>
      <c r="Y227" s="44"/>
      <c r="Z227" s="44"/>
      <c r="AA227" s="44"/>
      <c r="AB227" s="44"/>
      <c r="AC227" s="44"/>
    </row>
    <row r="228" spans="18:36" ht="14.6">
      <c r="R228" s="69"/>
      <c r="S228" s="70"/>
      <c r="T228" s="65"/>
      <c r="U228" s="69"/>
      <c r="V228" s="71"/>
      <c r="W228" s="72"/>
      <c r="X228" s="68"/>
      <c r="Y228" s="44"/>
      <c r="Z228" s="44"/>
      <c r="AA228" s="44"/>
      <c r="AB228" s="44"/>
      <c r="AC228" s="44"/>
      <c r="AE228" s="73"/>
    </row>
    <row r="229" spans="18:36" ht="14.6">
      <c r="R229" s="69"/>
      <c r="S229" s="70"/>
      <c r="T229" s="65"/>
      <c r="U229" s="69"/>
      <c r="V229" s="71"/>
      <c r="W229" s="72"/>
      <c r="X229" s="68"/>
      <c r="Y229" s="44"/>
      <c r="Z229" s="44"/>
      <c r="AA229" s="44"/>
      <c r="AB229" s="44"/>
      <c r="AC229" s="44"/>
      <c r="AD229" s="46"/>
      <c r="AE229" s="74"/>
      <c r="AI229" s="75"/>
      <c r="AJ229" s="76"/>
    </row>
    <row r="230" spans="18:36" ht="14.6">
      <c r="R230" s="69"/>
      <c r="S230" s="70"/>
      <c r="T230" s="65"/>
      <c r="U230" s="69"/>
      <c r="V230" s="71"/>
      <c r="W230" s="72"/>
      <c r="X230" s="68"/>
      <c r="Y230" s="44"/>
      <c r="Z230" s="44"/>
      <c r="AA230" s="44"/>
      <c r="AB230" s="44"/>
      <c r="AC230" s="44"/>
      <c r="AD230" s="47"/>
      <c r="AE230" s="77"/>
    </row>
    <row r="231" spans="18:36" ht="14.6">
      <c r="R231" s="69"/>
      <c r="S231" s="70"/>
      <c r="T231" s="65"/>
      <c r="U231" s="69"/>
      <c r="V231" s="71"/>
      <c r="W231" s="72"/>
      <c r="X231" s="68"/>
      <c r="Y231" s="44"/>
      <c r="Z231" s="44"/>
      <c r="AA231" s="44"/>
      <c r="AB231" s="44"/>
      <c r="AC231" s="44"/>
    </row>
    <row r="232" spans="18:36" ht="14.6">
      <c r="R232" s="63"/>
      <c r="S232" s="64"/>
      <c r="T232" s="65"/>
      <c r="U232" s="63"/>
      <c r="V232" s="66"/>
      <c r="W232" s="67"/>
      <c r="X232" s="68"/>
      <c r="Y232" s="44"/>
      <c r="Z232" s="44"/>
      <c r="AA232" s="44"/>
      <c r="AB232" s="44"/>
      <c r="AC232" s="44"/>
      <c r="AD232" s="45"/>
    </row>
    <row r="233" spans="18:36" ht="14.6">
      <c r="R233" s="63"/>
      <c r="S233" s="64"/>
      <c r="T233" s="65"/>
      <c r="U233" s="63"/>
      <c r="V233" s="66"/>
      <c r="W233" s="67"/>
      <c r="X233" s="68"/>
      <c r="Y233" s="44"/>
      <c r="Z233" s="44"/>
      <c r="AA233" s="44"/>
      <c r="AB233" s="44"/>
      <c r="AC233" s="44"/>
    </row>
    <row r="234" spans="18:36" ht="14.6">
      <c r="R234" s="63"/>
      <c r="S234" s="64"/>
      <c r="T234" s="65"/>
      <c r="U234" s="63"/>
      <c r="V234" s="66"/>
      <c r="W234" s="67"/>
      <c r="X234" s="68"/>
      <c r="Y234" s="44"/>
      <c r="Z234" s="44"/>
      <c r="AA234" s="44"/>
      <c r="AB234" s="44"/>
      <c r="AC234" s="44"/>
    </row>
    <row r="235" spans="18:36" ht="14.6">
      <c r="R235" s="63"/>
      <c r="S235" s="64"/>
      <c r="T235" s="65"/>
      <c r="U235" s="63"/>
      <c r="V235" s="66"/>
      <c r="W235" s="67"/>
      <c r="X235" s="68"/>
      <c r="Y235" s="44"/>
      <c r="Z235" s="44"/>
      <c r="AA235" s="44"/>
      <c r="AB235" s="44"/>
      <c r="AC235" s="44"/>
    </row>
    <row r="236" spans="18:36" ht="14.6">
      <c r="R236" s="63"/>
      <c r="S236" s="64"/>
      <c r="T236" s="65"/>
      <c r="U236" s="63"/>
      <c r="V236" s="66"/>
      <c r="W236" s="67"/>
      <c r="X236" s="68"/>
      <c r="Y236" s="44"/>
      <c r="Z236" s="44"/>
      <c r="AA236" s="44"/>
      <c r="AB236" s="44"/>
      <c r="AC236" s="44"/>
    </row>
    <row r="237" spans="18:36" ht="14.6">
      <c r="R237" s="63"/>
      <c r="S237" s="64"/>
      <c r="T237" s="65"/>
      <c r="U237" s="63"/>
      <c r="V237" s="66"/>
      <c r="W237" s="67"/>
      <c r="X237" s="68"/>
      <c r="Y237" s="44"/>
      <c r="Z237" s="44"/>
      <c r="AA237" s="44"/>
      <c r="AB237" s="44"/>
      <c r="AC237" s="44"/>
    </row>
    <row r="238" spans="18:36" ht="14.6">
      <c r="R238" s="63"/>
      <c r="S238" s="64"/>
      <c r="T238" s="65"/>
      <c r="U238" s="63"/>
      <c r="V238" s="66"/>
      <c r="W238" s="67"/>
      <c r="X238" s="68"/>
      <c r="Y238" s="44"/>
      <c r="Z238" s="44"/>
      <c r="AA238" s="44"/>
      <c r="AB238" s="44"/>
      <c r="AC238" s="44"/>
    </row>
    <row r="239" spans="18:36" ht="14.6">
      <c r="R239" s="63"/>
      <c r="S239" s="64"/>
      <c r="T239" s="65"/>
      <c r="U239" s="63"/>
      <c r="V239" s="66"/>
      <c r="W239" s="67"/>
      <c r="X239" s="68"/>
      <c r="Y239" s="44"/>
      <c r="Z239" s="44"/>
      <c r="AA239" s="44"/>
      <c r="AB239" s="44"/>
      <c r="AC239" s="44"/>
    </row>
    <row r="240" spans="18:36" ht="14.6">
      <c r="R240" s="63"/>
      <c r="S240" s="64"/>
      <c r="T240" s="65"/>
      <c r="U240" s="63"/>
      <c r="V240" s="66"/>
      <c r="W240" s="67"/>
      <c r="X240" s="68"/>
      <c r="Y240" s="44"/>
      <c r="Z240" s="44"/>
      <c r="AA240" s="44"/>
      <c r="AB240" s="44"/>
      <c r="AC240" s="44"/>
    </row>
    <row r="241" spans="18:29" ht="14.6">
      <c r="R241" s="63"/>
      <c r="S241" s="64"/>
      <c r="T241" s="65"/>
      <c r="U241" s="63"/>
      <c r="V241" s="66"/>
      <c r="W241" s="67"/>
      <c r="X241" s="68"/>
      <c r="Y241" s="44"/>
      <c r="Z241" s="44"/>
      <c r="AA241" s="44"/>
      <c r="AB241" s="44"/>
      <c r="AC241" s="44"/>
    </row>
    <row r="242" spans="18:29" ht="14.6">
      <c r="R242" s="63"/>
      <c r="S242" s="64"/>
      <c r="T242" s="65"/>
      <c r="U242" s="63"/>
      <c r="V242" s="66"/>
      <c r="W242" s="67"/>
      <c r="X242" s="68"/>
      <c r="Y242" s="44"/>
      <c r="Z242" s="44"/>
      <c r="AA242" s="44"/>
      <c r="AB242" s="44"/>
      <c r="AC242" s="44"/>
    </row>
    <row r="243" spans="18:29" ht="14.6">
      <c r="R243" s="63"/>
      <c r="S243" s="64"/>
      <c r="T243" s="65"/>
      <c r="U243" s="63"/>
      <c r="V243" s="66"/>
      <c r="W243" s="67"/>
      <c r="X243" s="68"/>
      <c r="Y243" s="44"/>
      <c r="Z243" s="44"/>
      <c r="AA243" s="44"/>
      <c r="AB243" s="44"/>
      <c r="AC243" s="44"/>
    </row>
    <row r="244" spans="18:29" ht="14.6">
      <c r="R244" s="63"/>
      <c r="S244" s="64"/>
      <c r="T244" s="65"/>
      <c r="U244" s="63"/>
      <c r="V244" s="66"/>
      <c r="W244" s="67"/>
      <c r="X244" s="68"/>
      <c r="Y244" s="44"/>
      <c r="Z244" s="44"/>
      <c r="AA244" s="44"/>
      <c r="AB244" s="44"/>
      <c r="AC244" s="44"/>
    </row>
    <row r="245" spans="18:29" ht="14.6">
      <c r="R245" s="63"/>
      <c r="S245" s="64"/>
      <c r="T245" s="65"/>
      <c r="U245" s="63"/>
      <c r="V245" s="66"/>
      <c r="W245" s="67"/>
      <c r="X245" s="68"/>
      <c r="Y245" s="44"/>
      <c r="Z245" s="44"/>
      <c r="AA245" s="44"/>
      <c r="AB245" s="44"/>
      <c r="AC245" s="44"/>
    </row>
    <row r="246" spans="18:29" ht="14.6">
      <c r="R246" s="63"/>
      <c r="S246" s="64"/>
      <c r="T246" s="65"/>
      <c r="U246" s="63"/>
      <c r="V246" s="66"/>
      <c r="W246" s="67"/>
      <c r="X246" s="68"/>
      <c r="Y246" s="44"/>
      <c r="Z246" s="44"/>
      <c r="AA246" s="44"/>
      <c r="AB246" s="44"/>
      <c r="AC246" s="44"/>
    </row>
    <row r="247" spans="18:29" ht="14.6">
      <c r="R247" s="63"/>
      <c r="S247" s="64"/>
      <c r="T247" s="65"/>
      <c r="U247" s="63"/>
      <c r="V247" s="66"/>
      <c r="W247" s="67"/>
      <c r="X247" s="68"/>
      <c r="Y247" s="44"/>
      <c r="Z247" s="44"/>
      <c r="AA247" s="44"/>
      <c r="AB247" s="44"/>
      <c r="AC247" s="44"/>
    </row>
    <row r="248" spans="18:29" ht="14.6">
      <c r="R248" s="63"/>
      <c r="S248" s="64"/>
      <c r="T248" s="65"/>
      <c r="U248" s="63"/>
      <c r="V248" s="66"/>
      <c r="W248" s="67"/>
      <c r="X248" s="68"/>
      <c r="Y248" s="44"/>
      <c r="Z248" s="44"/>
      <c r="AA248" s="44"/>
      <c r="AB248" s="44"/>
      <c r="AC248" s="44"/>
    </row>
    <row r="249" spans="18:29" ht="14.6">
      <c r="R249" s="63"/>
      <c r="S249" s="64"/>
      <c r="T249" s="65"/>
      <c r="U249" s="63"/>
      <c r="V249" s="66"/>
      <c r="W249" s="67"/>
      <c r="X249" s="68"/>
      <c r="Y249" s="44"/>
      <c r="Z249" s="44"/>
      <c r="AA249" s="44"/>
      <c r="AB249" s="44"/>
      <c r="AC249" s="44"/>
    </row>
    <row r="250" spans="18:29" ht="14.6">
      <c r="R250" s="63"/>
      <c r="S250" s="64"/>
      <c r="T250" s="65"/>
      <c r="U250" s="63"/>
      <c r="V250" s="66"/>
      <c r="W250" s="67"/>
      <c r="X250" s="68"/>
      <c r="Y250" s="44"/>
      <c r="Z250" s="44"/>
      <c r="AA250" s="44"/>
      <c r="AB250" s="44"/>
      <c r="AC250" s="44"/>
    </row>
    <row r="251" spans="18:29" ht="14.6">
      <c r="R251" s="63"/>
      <c r="S251" s="64"/>
      <c r="T251" s="65"/>
      <c r="U251" s="63"/>
      <c r="V251" s="66"/>
      <c r="W251" s="67"/>
      <c r="X251" s="68"/>
      <c r="Y251" s="44"/>
      <c r="Z251" s="44"/>
      <c r="AA251" s="44"/>
      <c r="AB251" s="44"/>
      <c r="AC251" s="44"/>
    </row>
    <row r="252" spans="18:29" ht="14.6">
      <c r="R252" s="63"/>
      <c r="S252" s="64"/>
      <c r="T252" s="65"/>
      <c r="U252" s="63"/>
      <c r="V252" s="66"/>
      <c r="W252" s="67"/>
      <c r="X252" s="68"/>
      <c r="Y252" s="44"/>
      <c r="Z252" s="44"/>
      <c r="AA252" s="44"/>
      <c r="AB252" s="44"/>
      <c r="AC252" s="44"/>
    </row>
    <row r="253" spans="18:29" ht="14.6">
      <c r="R253" s="63"/>
      <c r="S253" s="64"/>
      <c r="T253" s="65"/>
      <c r="U253" s="63"/>
      <c r="V253" s="66"/>
      <c r="W253" s="67"/>
      <c r="X253" s="68"/>
      <c r="Y253" s="44"/>
      <c r="Z253" s="44"/>
      <c r="AA253" s="44"/>
      <c r="AB253" s="44"/>
      <c r="AC253" s="44"/>
    </row>
    <row r="254" spans="18:29" ht="14.6">
      <c r="R254" s="63"/>
      <c r="S254" s="64"/>
      <c r="T254" s="65"/>
      <c r="U254" s="63"/>
      <c r="V254" s="66"/>
      <c r="W254" s="67"/>
      <c r="X254" s="68"/>
      <c r="Y254" s="44"/>
      <c r="Z254" s="44"/>
      <c r="AA254" s="44"/>
      <c r="AB254" s="44"/>
      <c r="AC254" s="44"/>
    </row>
    <row r="255" spans="18:29" ht="14.6">
      <c r="R255" s="63"/>
      <c r="S255" s="64"/>
      <c r="T255" s="65"/>
      <c r="U255" s="63"/>
      <c r="V255" s="66"/>
      <c r="W255" s="67"/>
      <c r="X255" s="68"/>
      <c r="Y255" s="44"/>
      <c r="Z255" s="44"/>
      <c r="AA255" s="44"/>
      <c r="AB255" s="44"/>
      <c r="AC255" s="44"/>
    </row>
    <row r="256" spans="18:29" ht="14.6">
      <c r="R256" s="63"/>
      <c r="S256" s="64"/>
      <c r="T256" s="65"/>
      <c r="U256" s="63"/>
      <c r="V256" s="66"/>
      <c r="W256" s="67"/>
      <c r="X256" s="68"/>
      <c r="Y256" s="44"/>
      <c r="Z256" s="44"/>
      <c r="AA256" s="44"/>
      <c r="AB256" s="44"/>
      <c r="AC256" s="44"/>
    </row>
    <row r="257" spans="18:29" ht="14.6">
      <c r="R257" s="63"/>
      <c r="S257" s="64"/>
      <c r="T257" s="65"/>
      <c r="U257" s="63"/>
      <c r="V257" s="66"/>
      <c r="W257" s="67"/>
      <c r="X257" s="68"/>
      <c r="Y257" s="44"/>
      <c r="Z257" s="44"/>
      <c r="AA257" s="44"/>
      <c r="AB257" s="44"/>
      <c r="AC257" s="44"/>
    </row>
    <row r="258" spans="18:29" ht="14.6">
      <c r="R258" s="63"/>
      <c r="S258" s="64"/>
      <c r="T258" s="65"/>
      <c r="U258" s="63"/>
      <c r="V258" s="66"/>
      <c r="W258" s="67"/>
      <c r="X258" s="68"/>
      <c r="Y258" s="44"/>
      <c r="Z258" s="44"/>
      <c r="AA258" s="44"/>
      <c r="AB258" s="44"/>
      <c r="AC258" s="44"/>
    </row>
    <row r="259" spans="18:29" ht="14.6">
      <c r="R259" s="63"/>
      <c r="S259" s="64"/>
      <c r="T259" s="65"/>
      <c r="U259" s="63"/>
      <c r="V259" s="66"/>
      <c r="W259" s="67"/>
      <c r="X259" s="68"/>
      <c r="Y259" s="44"/>
      <c r="Z259" s="44"/>
      <c r="AA259" s="44"/>
      <c r="AB259" s="44"/>
      <c r="AC259" s="44"/>
    </row>
    <row r="260" spans="18:29" ht="14.6">
      <c r="R260" s="63"/>
      <c r="S260" s="64"/>
      <c r="T260" s="65"/>
      <c r="U260" s="63"/>
      <c r="V260" s="66"/>
      <c r="W260" s="67"/>
      <c r="X260" s="68"/>
      <c r="Y260" s="44"/>
      <c r="Z260" s="44"/>
      <c r="AA260" s="44"/>
      <c r="AB260" s="44"/>
      <c r="AC260" s="44"/>
    </row>
    <row r="261" spans="18:29" ht="14.6">
      <c r="R261" s="63"/>
      <c r="S261" s="64"/>
      <c r="T261" s="65"/>
      <c r="U261" s="63"/>
      <c r="V261" s="66"/>
      <c r="W261" s="67"/>
      <c r="X261" s="68"/>
      <c r="Y261" s="44"/>
      <c r="Z261" s="44"/>
      <c r="AA261" s="44"/>
      <c r="AB261" s="44"/>
      <c r="AC261" s="44"/>
    </row>
    <row r="262" spans="18:29" ht="14.6">
      <c r="R262" s="63"/>
      <c r="S262" s="64"/>
      <c r="T262" s="65"/>
      <c r="U262" s="63"/>
      <c r="V262" s="66"/>
      <c r="W262" s="67"/>
      <c r="X262" s="68"/>
      <c r="Y262" s="44"/>
      <c r="Z262" s="44"/>
      <c r="AA262" s="44"/>
      <c r="AB262" s="44"/>
      <c r="AC262" s="44"/>
    </row>
    <row r="263" spans="18:29" ht="14.6">
      <c r="R263" s="63"/>
      <c r="S263" s="64"/>
      <c r="T263" s="65"/>
      <c r="U263" s="63"/>
      <c r="V263" s="66"/>
      <c r="W263" s="67"/>
      <c r="X263" s="68"/>
      <c r="Y263" s="44"/>
      <c r="Z263" s="44"/>
      <c r="AA263" s="44"/>
      <c r="AB263" s="44"/>
      <c r="AC263" s="44"/>
    </row>
    <row r="264" spans="18:29" ht="14.6">
      <c r="R264" s="63"/>
      <c r="S264" s="64"/>
      <c r="T264" s="65"/>
      <c r="U264" s="63"/>
      <c r="V264" s="66"/>
      <c r="W264" s="67"/>
      <c r="X264" s="68"/>
      <c r="Y264" s="44"/>
      <c r="Z264" s="44"/>
      <c r="AA264" s="44"/>
      <c r="AB264" s="44"/>
      <c r="AC264" s="44"/>
    </row>
    <row r="265" spans="18:29" ht="14.6">
      <c r="R265" s="63"/>
      <c r="S265" s="64"/>
      <c r="T265" s="65"/>
      <c r="U265" s="63"/>
      <c r="V265" s="66"/>
      <c r="W265" s="67"/>
      <c r="X265" s="68"/>
      <c r="Y265" s="44"/>
      <c r="Z265" s="44"/>
      <c r="AA265" s="44"/>
      <c r="AB265" s="44"/>
      <c r="AC265" s="44"/>
    </row>
    <row r="266" spans="18:29" ht="14.6">
      <c r="R266" s="63"/>
      <c r="S266" s="64"/>
      <c r="T266" s="65"/>
      <c r="U266" s="63"/>
      <c r="V266" s="66"/>
      <c r="W266" s="67"/>
      <c r="X266" s="68"/>
      <c r="Y266" s="44"/>
      <c r="Z266" s="44"/>
      <c r="AA266" s="44"/>
      <c r="AB266" s="44"/>
      <c r="AC266" s="44"/>
    </row>
    <row r="267" spans="18:29" ht="14.6">
      <c r="R267" s="63"/>
      <c r="S267" s="64"/>
      <c r="T267" s="65"/>
      <c r="U267" s="63"/>
      <c r="V267" s="66"/>
      <c r="W267" s="67"/>
      <c r="X267" s="68"/>
      <c r="Y267" s="44"/>
      <c r="Z267" s="44"/>
      <c r="AA267" s="44"/>
      <c r="AB267" s="44"/>
      <c r="AC267" s="44"/>
    </row>
    <row r="268" spans="18:29" ht="14.6">
      <c r="R268" s="63"/>
      <c r="S268" s="64"/>
      <c r="T268" s="65"/>
      <c r="U268" s="63"/>
      <c r="V268" s="66"/>
      <c r="W268" s="67"/>
      <c r="X268" s="68"/>
      <c r="Y268" s="44"/>
      <c r="Z268" s="44"/>
      <c r="AA268" s="44"/>
      <c r="AB268" s="44"/>
      <c r="AC268" s="44"/>
    </row>
    <row r="269" spans="18:29" ht="14.6">
      <c r="R269" s="63"/>
      <c r="S269" s="64"/>
      <c r="T269" s="65"/>
      <c r="U269" s="63"/>
      <c r="V269" s="66"/>
      <c r="W269" s="67"/>
      <c r="X269" s="68"/>
      <c r="Y269" s="44"/>
      <c r="Z269" s="44"/>
      <c r="AA269" s="44"/>
      <c r="AB269" s="44"/>
      <c r="AC269" s="44"/>
    </row>
    <row r="270" spans="18:29" ht="14.6">
      <c r="R270" s="63"/>
      <c r="S270" s="64"/>
      <c r="T270" s="65"/>
      <c r="U270" s="63"/>
      <c r="V270" s="66"/>
      <c r="W270" s="67"/>
      <c r="X270" s="68"/>
      <c r="Y270" s="44"/>
      <c r="Z270" s="44"/>
      <c r="AA270" s="44"/>
      <c r="AB270" s="44"/>
      <c r="AC270" s="44"/>
    </row>
    <row r="271" spans="18:29" ht="14.6">
      <c r="R271" s="63"/>
      <c r="S271" s="64"/>
      <c r="T271" s="65"/>
      <c r="U271" s="63"/>
      <c r="V271" s="66"/>
      <c r="W271" s="67"/>
      <c r="X271" s="68"/>
      <c r="Y271" s="44"/>
      <c r="Z271" s="44"/>
      <c r="AA271" s="44"/>
      <c r="AB271" s="44"/>
      <c r="AC271" s="44"/>
    </row>
    <row r="272" spans="18:29" ht="14.6">
      <c r="R272" s="63"/>
      <c r="S272" s="64"/>
      <c r="T272" s="65"/>
      <c r="U272" s="63"/>
      <c r="V272" s="66"/>
      <c r="W272" s="67"/>
      <c r="X272" s="68"/>
      <c r="Y272" s="44"/>
      <c r="Z272" s="44"/>
      <c r="AA272" s="44"/>
      <c r="AB272" s="44"/>
      <c r="AC272" s="44"/>
    </row>
    <row r="273" spans="18:29" ht="14.6">
      <c r="R273" s="63"/>
      <c r="S273" s="64"/>
      <c r="T273" s="65"/>
      <c r="U273" s="63"/>
      <c r="V273" s="66"/>
      <c r="W273" s="67"/>
      <c r="X273" s="68"/>
      <c r="Y273" s="44"/>
      <c r="Z273" s="44"/>
      <c r="AA273" s="44"/>
      <c r="AB273" s="44"/>
      <c r="AC273" s="44"/>
    </row>
    <row r="274" spans="18:29" ht="14.6">
      <c r="R274" s="63"/>
      <c r="S274" s="64"/>
      <c r="T274" s="65"/>
      <c r="U274" s="63"/>
      <c r="V274" s="66"/>
      <c r="W274" s="67"/>
      <c r="X274" s="68"/>
      <c r="Y274" s="44"/>
      <c r="Z274" s="44"/>
      <c r="AA274" s="44"/>
      <c r="AB274" s="44"/>
      <c r="AC274" s="44"/>
    </row>
    <row r="275" spans="18:29" ht="14.6">
      <c r="R275" s="63"/>
      <c r="S275" s="64"/>
      <c r="T275" s="65"/>
      <c r="U275" s="63"/>
      <c r="V275" s="66"/>
      <c r="W275" s="67"/>
      <c r="X275" s="68"/>
      <c r="Y275" s="44"/>
      <c r="Z275" s="44"/>
      <c r="AA275" s="44"/>
      <c r="AB275" s="44"/>
      <c r="AC275" s="44"/>
    </row>
    <row r="276" spans="18:29" ht="14.6">
      <c r="R276" s="63"/>
      <c r="S276" s="64"/>
      <c r="T276" s="65"/>
      <c r="U276" s="63"/>
      <c r="V276" s="66"/>
      <c r="W276" s="67"/>
      <c r="X276" s="68"/>
      <c r="Y276" s="44"/>
      <c r="Z276" s="44"/>
      <c r="AA276" s="44"/>
      <c r="AB276" s="44"/>
      <c r="AC276" s="44"/>
    </row>
    <row r="277" spans="18:29" ht="14.6">
      <c r="R277" s="63"/>
      <c r="S277" s="64"/>
      <c r="T277" s="65"/>
      <c r="U277" s="63"/>
      <c r="V277" s="66"/>
      <c r="W277" s="67"/>
      <c r="X277" s="68"/>
      <c r="Y277" s="44"/>
      <c r="Z277" s="44"/>
      <c r="AA277" s="44"/>
      <c r="AB277" s="44"/>
      <c r="AC277" s="44"/>
    </row>
    <row r="278" spans="18:29" ht="14.6">
      <c r="R278" s="63"/>
      <c r="S278" s="64"/>
      <c r="T278" s="65"/>
      <c r="U278" s="63"/>
      <c r="V278" s="66"/>
      <c r="W278" s="67"/>
      <c r="X278" s="68"/>
      <c r="Y278" s="44"/>
      <c r="Z278" s="44"/>
      <c r="AA278" s="44"/>
      <c r="AB278" s="44"/>
      <c r="AC278" s="44"/>
    </row>
    <row r="279" spans="18:29" ht="14.6">
      <c r="R279" s="63"/>
      <c r="S279" s="64"/>
      <c r="T279" s="65"/>
      <c r="U279" s="63"/>
      <c r="V279" s="66"/>
      <c r="W279" s="67"/>
      <c r="X279" s="68"/>
      <c r="Y279" s="44"/>
      <c r="Z279" s="44"/>
      <c r="AA279" s="44"/>
      <c r="AB279" s="44"/>
      <c r="AC279" s="44"/>
    </row>
    <row r="280" spans="18:29" ht="14.6">
      <c r="R280" s="63"/>
      <c r="S280" s="64"/>
      <c r="T280" s="65"/>
      <c r="U280" s="63"/>
      <c r="V280" s="66"/>
      <c r="W280" s="67"/>
      <c r="X280" s="68"/>
      <c r="Y280" s="44"/>
      <c r="Z280" s="44"/>
      <c r="AA280" s="44"/>
      <c r="AB280" s="44"/>
      <c r="AC280" s="44"/>
    </row>
    <row r="281" spans="18:29" ht="14.6">
      <c r="R281" s="63"/>
      <c r="S281" s="64"/>
      <c r="T281" s="65"/>
      <c r="U281" s="63"/>
      <c r="V281" s="66"/>
      <c r="W281" s="67"/>
      <c r="X281" s="68"/>
      <c r="Y281" s="44"/>
      <c r="Z281" s="44"/>
      <c r="AA281" s="44"/>
      <c r="AB281" s="44"/>
      <c r="AC281" s="44"/>
    </row>
    <row r="282" spans="18:29" ht="14.6">
      <c r="R282" s="63"/>
      <c r="S282" s="64"/>
      <c r="T282" s="65"/>
      <c r="U282" s="63"/>
      <c r="V282" s="66"/>
      <c r="W282" s="67"/>
      <c r="X282" s="68"/>
      <c r="Y282" s="44"/>
      <c r="Z282" s="44"/>
      <c r="AA282" s="44"/>
      <c r="AB282" s="44"/>
      <c r="AC282" s="44"/>
    </row>
    <row r="283" spans="18:29" ht="14.6">
      <c r="R283" s="63"/>
      <c r="S283" s="64"/>
      <c r="T283" s="65"/>
      <c r="U283" s="63"/>
      <c r="V283" s="66"/>
      <c r="W283" s="67"/>
      <c r="X283" s="68"/>
      <c r="Y283" s="44"/>
      <c r="Z283" s="44"/>
      <c r="AA283" s="44"/>
      <c r="AB283" s="44"/>
      <c r="AC283" s="44"/>
    </row>
    <row r="284" spans="18:29" ht="14.6">
      <c r="R284" s="63"/>
      <c r="S284" s="64"/>
      <c r="T284" s="65"/>
      <c r="U284" s="63"/>
      <c r="V284" s="66"/>
      <c r="W284" s="67"/>
      <c r="X284" s="68"/>
      <c r="Y284" s="44"/>
      <c r="Z284" s="44"/>
      <c r="AA284" s="44"/>
      <c r="AB284" s="44"/>
      <c r="AC284" s="44"/>
    </row>
    <row r="285" spans="18:29" ht="14.6">
      <c r="R285" s="63"/>
      <c r="S285" s="64"/>
      <c r="T285" s="65"/>
      <c r="U285" s="63"/>
      <c r="V285" s="66"/>
      <c r="W285" s="67"/>
      <c r="X285" s="68"/>
      <c r="Y285" s="44"/>
      <c r="Z285" s="44"/>
      <c r="AA285" s="44"/>
      <c r="AB285" s="44"/>
      <c r="AC285" s="44"/>
    </row>
    <row r="286" spans="18:29" ht="14.6">
      <c r="R286" s="63"/>
      <c r="S286" s="64"/>
      <c r="T286" s="65"/>
      <c r="U286" s="63"/>
      <c r="V286" s="66"/>
      <c r="W286" s="67"/>
      <c r="X286" s="68"/>
      <c r="Y286" s="44"/>
      <c r="Z286" s="44"/>
      <c r="AA286" s="44"/>
      <c r="AB286" s="44"/>
      <c r="AC286" s="44"/>
    </row>
    <row r="287" spans="18:29" ht="14.6">
      <c r="R287" s="63"/>
      <c r="S287" s="64"/>
      <c r="T287" s="65"/>
      <c r="U287" s="63"/>
      <c r="V287" s="66"/>
      <c r="W287" s="67"/>
      <c r="X287" s="68"/>
      <c r="Y287" s="44"/>
      <c r="Z287" s="44"/>
      <c r="AA287" s="44"/>
      <c r="AB287" s="44"/>
      <c r="AC287" s="44"/>
    </row>
    <row r="288" spans="18:29" ht="14.6">
      <c r="R288" s="63"/>
      <c r="S288" s="64"/>
      <c r="T288" s="65"/>
      <c r="U288" s="63"/>
      <c r="V288" s="66"/>
      <c r="W288" s="67"/>
      <c r="X288" s="68"/>
      <c r="Y288" s="44"/>
      <c r="Z288" s="44"/>
      <c r="AA288" s="44"/>
      <c r="AB288" s="44"/>
      <c r="AC288" s="44"/>
    </row>
    <row r="289" spans="18:29" ht="14.6">
      <c r="R289" s="63"/>
      <c r="S289" s="64"/>
      <c r="T289" s="65"/>
      <c r="U289" s="63"/>
      <c r="V289" s="66"/>
      <c r="W289" s="67"/>
      <c r="X289" s="68"/>
      <c r="Y289" s="44"/>
      <c r="Z289" s="44"/>
      <c r="AA289" s="44"/>
      <c r="AB289" s="44"/>
      <c r="AC289" s="44"/>
    </row>
    <row r="290" spans="18:29" ht="14.6">
      <c r="R290" s="63"/>
      <c r="S290" s="64"/>
      <c r="T290" s="65"/>
      <c r="U290" s="63"/>
      <c r="V290" s="66"/>
      <c r="W290" s="67"/>
      <c r="X290" s="68"/>
      <c r="Y290" s="44"/>
      <c r="Z290" s="44"/>
      <c r="AA290" s="44"/>
      <c r="AB290" s="44"/>
      <c r="AC290" s="44"/>
    </row>
    <row r="291" spans="18:29" ht="14.6">
      <c r="R291" s="63"/>
      <c r="S291" s="64"/>
      <c r="T291" s="65"/>
      <c r="U291" s="63"/>
      <c r="V291" s="66"/>
      <c r="W291" s="67"/>
      <c r="X291" s="68"/>
      <c r="Y291" s="44"/>
      <c r="Z291" s="44"/>
      <c r="AA291" s="44"/>
      <c r="AB291" s="44"/>
      <c r="AC291" s="44"/>
    </row>
    <row r="292" spans="18:29" ht="14.6">
      <c r="R292" s="63"/>
      <c r="S292" s="64"/>
      <c r="T292" s="65"/>
      <c r="U292" s="63"/>
      <c r="V292" s="66"/>
      <c r="W292" s="67"/>
      <c r="X292" s="68"/>
      <c r="Y292" s="44"/>
      <c r="Z292" s="44"/>
      <c r="AA292" s="44"/>
      <c r="AB292" s="44"/>
      <c r="AC292" s="44"/>
    </row>
    <row r="293" spans="18:29" ht="14.6">
      <c r="R293" s="63"/>
      <c r="S293" s="64"/>
      <c r="T293" s="65"/>
      <c r="U293" s="63"/>
      <c r="V293" s="66"/>
      <c r="W293" s="67"/>
      <c r="X293" s="68"/>
      <c r="Y293" s="44"/>
      <c r="Z293" s="44"/>
      <c r="AA293" s="44"/>
      <c r="AB293" s="44"/>
      <c r="AC293" s="44"/>
    </row>
    <row r="294" spans="18:29" ht="14.6">
      <c r="R294" s="63"/>
      <c r="S294" s="64"/>
      <c r="T294" s="65"/>
      <c r="U294" s="63"/>
      <c r="V294" s="66"/>
      <c r="W294" s="67"/>
      <c r="X294" s="68"/>
      <c r="Y294" s="44"/>
      <c r="Z294" s="44"/>
      <c r="AA294" s="44"/>
      <c r="AB294" s="44"/>
      <c r="AC294" s="44"/>
    </row>
    <row r="295" spans="18:29" ht="14.6">
      <c r="R295" s="63"/>
      <c r="S295" s="64"/>
      <c r="T295" s="65"/>
      <c r="U295" s="63"/>
      <c r="V295" s="66"/>
      <c r="W295" s="67"/>
      <c r="X295" s="68"/>
      <c r="Y295" s="44"/>
      <c r="Z295" s="44"/>
      <c r="AA295" s="44"/>
      <c r="AB295" s="44"/>
      <c r="AC295" s="44"/>
    </row>
    <row r="296" spans="18:29" ht="14.6">
      <c r="R296" s="63"/>
      <c r="S296" s="64"/>
      <c r="T296" s="65"/>
      <c r="U296" s="63"/>
      <c r="V296" s="66"/>
      <c r="W296" s="67"/>
      <c r="X296" s="68"/>
      <c r="Y296" s="44"/>
      <c r="Z296" s="44"/>
      <c r="AA296" s="44"/>
      <c r="AB296" s="44"/>
      <c r="AC296" s="44"/>
    </row>
    <row r="297" spans="18:29" ht="14.6">
      <c r="R297" s="63"/>
      <c r="S297" s="64"/>
      <c r="T297" s="65"/>
      <c r="U297" s="63"/>
      <c r="V297" s="66"/>
      <c r="W297" s="67"/>
      <c r="X297" s="68"/>
      <c r="Y297" s="44"/>
      <c r="Z297" s="44"/>
      <c r="AA297" s="44"/>
      <c r="AB297" s="44"/>
      <c r="AC297" s="44"/>
    </row>
    <row r="298" spans="18:29" ht="14.6">
      <c r="R298" s="63"/>
      <c r="S298" s="64"/>
      <c r="T298" s="65"/>
      <c r="U298" s="63"/>
      <c r="V298" s="66"/>
      <c r="W298" s="67"/>
      <c r="X298" s="68"/>
      <c r="Y298" s="44"/>
      <c r="Z298" s="44"/>
      <c r="AA298" s="44"/>
      <c r="AB298" s="44"/>
      <c r="AC298" s="44"/>
    </row>
    <row r="299" spans="18:29" ht="14.6">
      <c r="R299" s="63"/>
      <c r="S299" s="64"/>
      <c r="T299" s="65"/>
      <c r="U299" s="63"/>
      <c r="V299" s="66"/>
      <c r="W299" s="67"/>
      <c r="X299" s="68"/>
      <c r="Y299" s="44"/>
      <c r="Z299" s="44"/>
      <c r="AA299" s="44"/>
      <c r="AB299" s="44"/>
      <c r="AC299" s="44"/>
    </row>
    <row r="300" spans="18:29" ht="14.6">
      <c r="R300" s="63"/>
      <c r="S300" s="64"/>
      <c r="T300" s="65"/>
      <c r="U300" s="63"/>
      <c r="V300" s="66"/>
      <c r="W300" s="67"/>
      <c r="X300" s="68"/>
      <c r="Y300" s="44"/>
      <c r="Z300" s="44"/>
      <c r="AA300" s="44"/>
      <c r="AB300" s="44"/>
      <c r="AC300" s="44"/>
    </row>
    <row r="301" spans="18:29" ht="14.6">
      <c r="R301" s="63"/>
      <c r="S301" s="64"/>
      <c r="T301" s="65"/>
      <c r="U301" s="63"/>
      <c r="V301" s="66"/>
      <c r="W301" s="67"/>
      <c r="X301" s="68"/>
      <c r="Y301" s="44"/>
      <c r="Z301" s="44"/>
      <c r="AA301" s="44"/>
      <c r="AB301" s="44"/>
      <c r="AC301" s="44"/>
    </row>
    <row r="302" spans="18:29" ht="14.6">
      <c r="R302" s="63"/>
      <c r="S302" s="64"/>
      <c r="T302" s="65"/>
      <c r="U302" s="63"/>
      <c r="V302" s="66"/>
      <c r="W302" s="67"/>
      <c r="X302" s="68"/>
      <c r="Y302" s="44"/>
      <c r="Z302" s="44"/>
      <c r="AA302" s="44"/>
      <c r="AB302" s="44"/>
      <c r="AC302" s="44"/>
    </row>
    <row r="303" spans="18:29" ht="14.6">
      <c r="R303" s="63"/>
      <c r="S303" s="64"/>
      <c r="T303" s="65"/>
      <c r="U303" s="63"/>
      <c r="V303" s="66"/>
      <c r="W303" s="67"/>
      <c r="X303" s="68"/>
      <c r="Y303" s="44"/>
      <c r="Z303" s="44"/>
      <c r="AA303" s="44"/>
      <c r="AB303" s="44"/>
      <c r="AC303" s="44"/>
    </row>
    <row r="304" spans="18:29" ht="14.6">
      <c r="R304" s="63"/>
      <c r="S304" s="64"/>
      <c r="T304" s="65"/>
      <c r="U304" s="63"/>
      <c r="V304" s="66"/>
      <c r="W304" s="67"/>
      <c r="X304" s="68"/>
      <c r="Y304" s="44"/>
      <c r="Z304" s="44"/>
      <c r="AA304" s="44"/>
      <c r="AB304" s="44"/>
      <c r="AC304" s="44"/>
    </row>
    <row r="305" spans="18:29" ht="14.6">
      <c r="R305" s="63"/>
      <c r="S305" s="64"/>
      <c r="T305" s="65"/>
      <c r="U305" s="63"/>
      <c r="V305" s="66"/>
      <c r="W305" s="67"/>
      <c r="X305" s="68"/>
      <c r="Y305" s="44"/>
      <c r="Z305" s="44"/>
      <c r="AA305" s="44"/>
      <c r="AB305" s="44"/>
      <c r="AC305" s="44"/>
    </row>
    <row r="306" spans="18:29" ht="14.6">
      <c r="R306" s="63"/>
      <c r="S306" s="64"/>
      <c r="T306" s="65"/>
      <c r="U306" s="63"/>
      <c r="V306" s="66"/>
      <c r="W306" s="67"/>
      <c r="X306" s="68"/>
      <c r="Y306" s="44"/>
      <c r="Z306" s="44"/>
      <c r="AA306" s="44"/>
      <c r="AB306" s="44"/>
      <c r="AC306" s="44"/>
    </row>
    <row r="307" spans="18:29" ht="14.6">
      <c r="R307" s="63"/>
      <c r="S307" s="64"/>
      <c r="T307" s="65"/>
      <c r="U307" s="63"/>
      <c r="V307" s="66"/>
      <c r="W307" s="67"/>
      <c r="X307" s="68"/>
      <c r="Y307" s="44"/>
      <c r="Z307" s="44"/>
      <c r="AA307" s="44"/>
      <c r="AB307" s="44"/>
      <c r="AC307" s="44"/>
    </row>
    <row r="308" spans="18:29" ht="14.6">
      <c r="R308" s="63"/>
      <c r="S308" s="64"/>
      <c r="T308" s="65"/>
      <c r="U308" s="63"/>
      <c r="V308" s="66"/>
      <c r="W308" s="67"/>
      <c r="X308" s="68"/>
      <c r="Y308" s="44"/>
      <c r="Z308" s="44"/>
      <c r="AA308" s="44"/>
      <c r="AB308" s="44"/>
      <c r="AC308" s="44"/>
    </row>
    <row r="309" spans="18:29" ht="14.6">
      <c r="R309" s="63"/>
      <c r="S309" s="64"/>
      <c r="T309" s="65"/>
      <c r="U309" s="63"/>
      <c r="V309" s="66"/>
      <c r="W309" s="67"/>
      <c r="X309" s="68"/>
      <c r="Y309" s="44"/>
      <c r="Z309" s="44"/>
      <c r="AA309" s="44"/>
      <c r="AB309" s="44"/>
      <c r="AC309" s="44"/>
    </row>
    <row r="310" spans="18:29" ht="14.6">
      <c r="R310" s="63"/>
      <c r="S310" s="64"/>
      <c r="T310" s="65"/>
      <c r="U310" s="63"/>
      <c r="V310" s="66"/>
      <c r="W310" s="67"/>
      <c r="X310" s="68"/>
      <c r="Y310" s="44"/>
      <c r="Z310" s="44"/>
      <c r="AA310" s="44"/>
      <c r="AB310" s="44"/>
      <c r="AC310" s="44"/>
    </row>
    <row r="311" spans="18:29" ht="14.6">
      <c r="R311" s="63"/>
      <c r="S311" s="64"/>
      <c r="T311" s="65"/>
      <c r="U311" s="63"/>
      <c r="V311" s="66"/>
      <c r="W311" s="67"/>
      <c r="X311" s="68"/>
      <c r="Y311" s="44"/>
      <c r="Z311" s="44"/>
      <c r="AA311" s="44"/>
      <c r="AB311" s="44"/>
      <c r="AC311" s="44"/>
    </row>
    <row r="312" spans="18:29" ht="14.6">
      <c r="R312" s="63"/>
      <c r="S312" s="64"/>
      <c r="T312" s="65"/>
      <c r="U312" s="63"/>
      <c r="V312" s="66"/>
      <c r="W312" s="67"/>
      <c r="X312" s="68"/>
      <c r="Y312" s="44"/>
      <c r="Z312" s="44"/>
      <c r="AA312" s="44"/>
      <c r="AB312" s="44"/>
      <c r="AC312" s="44"/>
    </row>
    <row r="313" spans="18:29" ht="14.6">
      <c r="R313" s="63"/>
      <c r="S313" s="64"/>
      <c r="T313" s="65"/>
      <c r="U313" s="63"/>
      <c r="V313" s="66"/>
      <c r="W313" s="67"/>
      <c r="X313" s="68"/>
      <c r="Y313" s="44"/>
      <c r="Z313" s="44"/>
      <c r="AA313" s="44"/>
      <c r="AB313" s="44"/>
      <c r="AC313" s="44"/>
    </row>
    <row r="314" spans="18:29" ht="14.6">
      <c r="R314" s="63"/>
      <c r="S314" s="64"/>
      <c r="T314" s="65"/>
      <c r="U314" s="63"/>
      <c r="V314" s="66"/>
      <c r="W314" s="67"/>
      <c r="X314" s="68"/>
      <c r="Y314" s="44"/>
      <c r="Z314" s="44"/>
      <c r="AA314" s="44"/>
      <c r="AB314" s="44"/>
      <c r="AC314" s="44"/>
    </row>
    <row r="315" spans="18:29" ht="14.6">
      <c r="R315" s="63"/>
      <c r="S315" s="64"/>
      <c r="T315" s="65"/>
      <c r="U315" s="63"/>
      <c r="V315" s="66"/>
      <c r="W315" s="67"/>
      <c r="X315" s="68"/>
      <c r="Y315" s="44"/>
      <c r="Z315" s="44"/>
      <c r="AA315" s="44"/>
      <c r="AB315" s="44"/>
      <c r="AC315" s="44"/>
    </row>
    <row r="316" spans="18:29" ht="14.6">
      <c r="R316" s="63"/>
      <c r="S316" s="64"/>
      <c r="T316" s="65"/>
      <c r="U316" s="63"/>
      <c r="V316" s="66"/>
      <c r="W316" s="67"/>
      <c r="X316" s="68"/>
      <c r="Y316" s="44"/>
      <c r="Z316" s="44"/>
      <c r="AA316" s="44"/>
      <c r="AB316" s="44"/>
      <c r="AC316" s="44"/>
    </row>
    <row r="317" spans="18:29" ht="14.6">
      <c r="R317" s="63"/>
      <c r="S317" s="64"/>
      <c r="T317" s="65"/>
      <c r="U317" s="63"/>
      <c r="V317" s="66"/>
      <c r="W317" s="67"/>
      <c r="X317" s="68"/>
      <c r="Y317" s="44"/>
      <c r="Z317" s="44"/>
      <c r="AA317" s="44"/>
      <c r="AB317" s="44"/>
      <c r="AC317" s="44"/>
    </row>
    <row r="318" spans="18:29" ht="14.6">
      <c r="R318" s="63"/>
      <c r="S318" s="64"/>
      <c r="T318" s="65"/>
      <c r="U318" s="63"/>
      <c r="V318" s="66"/>
      <c r="W318" s="67"/>
      <c r="X318" s="68"/>
      <c r="Y318" s="44"/>
      <c r="Z318" s="44"/>
      <c r="AA318" s="44"/>
      <c r="AB318" s="44"/>
      <c r="AC318" s="44"/>
    </row>
    <row r="319" spans="18:29" ht="14.6">
      <c r="R319" s="63"/>
      <c r="S319" s="64"/>
      <c r="T319" s="65"/>
      <c r="U319" s="63"/>
      <c r="V319" s="66"/>
      <c r="W319" s="67"/>
      <c r="X319" s="68"/>
      <c r="Y319" s="44"/>
      <c r="Z319" s="44"/>
      <c r="AA319" s="44"/>
      <c r="AB319" s="44"/>
      <c r="AC319" s="44"/>
    </row>
    <row r="320" spans="18:29" ht="14.6">
      <c r="R320" s="63"/>
      <c r="S320" s="64"/>
      <c r="T320" s="65"/>
      <c r="U320" s="63"/>
      <c r="V320" s="66"/>
      <c r="W320" s="67"/>
      <c r="X320" s="68"/>
      <c r="Y320" s="44"/>
      <c r="Z320" s="44"/>
      <c r="AA320" s="44"/>
      <c r="AB320" s="44"/>
      <c r="AC320" s="44"/>
    </row>
    <row r="321" spans="18:29" ht="14.6">
      <c r="R321" s="63"/>
      <c r="S321" s="64"/>
      <c r="T321" s="65"/>
      <c r="U321" s="63"/>
      <c r="V321" s="66"/>
      <c r="W321" s="67"/>
      <c r="X321" s="68"/>
      <c r="Y321" s="44"/>
      <c r="Z321" s="44"/>
      <c r="AA321" s="44"/>
      <c r="AB321" s="44"/>
      <c r="AC321" s="44"/>
    </row>
    <row r="322" spans="18:29" ht="14.6">
      <c r="R322" s="63"/>
      <c r="S322" s="64"/>
      <c r="T322" s="65"/>
      <c r="U322" s="63"/>
      <c r="V322" s="66"/>
      <c r="W322" s="67"/>
      <c r="X322" s="68"/>
      <c r="Y322" s="44"/>
      <c r="Z322" s="44"/>
      <c r="AA322" s="44"/>
      <c r="AB322" s="44"/>
      <c r="AC322" s="44"/>
    </row>
    <row r="323" spans="18:29" ht="14.6">
      <c r="R323" s="63"/>
      <c r="S323" s="64"/>
      <c r="T323" s="65"/>
      <c r="U323" s="63"/>
      <c r="V323" s="66"/>
      <c r="W323" s="67"/>
      <c r="X323" s="68"/>
      <c r="Y323" s="44"/>
      <c r="Z323" s="44"/>
      <c r="AA323" s="44"/>
      <c r="AB323" s="44"/>
      <c r="AC323" s="44"/>
    </row>
    <row r="324" spans="18:29" ht="14.6">
      <c r="R324" s="63"/>
      <c r="S324" s="64"/>
      <c r="T324" s="65"/>
      <c r="U324" s="63"/>
      <c r="V324" s="66"/>
      <c r="W324" s="67"/>
      <c r="X324" s="68"/>
      <c r="Y324" s="44"/>
      <c r="Z324" s="44"/>
      <c r="AA324" s="44"/>
      <c r="AB324" s="44"/>
      <c r="AC324" s="44"/>
    </row>
    <row r="325" spans="18:29" ht="14.6">
      <c r="R325" s="63"/>
      <c r="S325" s="64"/>
      <c r="T325" s="65"/>
      <c r="U325" s="63"/>
      <c r="V325" s="66"/>
      <c r="W325" s="67"/>
      <c r="X325" s="68"/>
      <c r="Y325" s="44"/>
      <c r="Z325" s="44"/>
      <c r="AA325" s="44"/>
      <c r="AB325" s="44"/>
      <c r="AC325" s="44"/>
    </row>
    <row r="326" spans="18:29" ht="14.6">
      <c r="R326" s="63"/>
      <c r="S326" s="64"/>
      <c r="T326" s="65"/>
      <c r="U326" s="63"/>
      <c r="V326" s="66"/>
      <c r="W326" s="67"/>
      <c r="X326" s="68"/>
      <c r="Y326" s="44"/>
      <c r="Z326" s="44"/>
      <c r="AA326" s="44"/>
      <c r="AB326" s="44"/>
      <c r="AC326" s="44"/>
    </row>
    <row r="327" spans="18:29" ht="14.6">
      <c r="R327" s="63"/>
      <c r="S327" s="64"/>
      <c r="T327" s="65"/>
      <c r="U327" s="63"/>
      <c r="V327" s="66"/>
      <c r="W327" s="67"/>
      <c r="X327" s="68"/>
      <c r="Y327" s="44"/>
      <c r="Z327" s="44"/>
      <c r="AA327" s="44"/>
      <c r="AB327" s="44"/>
      <c r="AC327" s="44"/>
    </row>
    <row r="328" spans="18:29" ht="14.6">
      <c r="R328" s="63"/>
      <c r="S328" s="64"/>
      <c r="T328" s="65"/>
      <c r="U328" s="63"/>
      <c r="V328" s="66"/>
      <c r="W328" s="67"/>
      <c r="X328" s="68"/>
      <c r="Y328" s="44"/>
      <c r="Z328" s="44"/>
      <c r="AA328" s="44"/>
      <c r="AB328" s="44"/>
      <c r="AC328" s="44"/>
    </row>
    <row r="329" spans="18:29" ht="14.6">
      <c r="R329" s="63"/>
      <c r="S329" s="64"/>
      <c r="T329" s="65"/>
      <c r="U329" s="63"/>
      <c r="V329" s="66"/>
      <c r="W329" s="67"/>
      <c r="X329" s="68"/>
      <c r="Y329" s="44"/>
      <c r="Z329" s="44"/>
      <c r="AA329" s="44"/>
      <c r="AB329" s="44"/>
      <c r="AC329" s="44"/>
    </row>
    <row r="330" spans="18:29" ht="14.6">
      <c r="R330" s="63"/>
      <c r="S330" s="64"/>
      <c r="T330" s="65"/>
      <c r="U330" s="63"/>
      <c r="V330" s="66"/>
      <c r="W330" s="67"/>
      <c r="X330" s="68"/>
      <c r="Y330" s="44"/>
      <c r="Z330" s="44"/>
      <c r="AA330" s="44"/>
      <c r="AB330" s="44"/>
      <c r="AC330" s="44"/>
    </row>
    <row r="331" spans="18:29" ht="14.6">
      <c r="R331" s="63"/>
      <c r="S331" s="64"/>
      <c r="T331" s="65"/>
      <c r="U331" s="63"/>
      <c r="V331" s="66"/>
      <c r="W331" s="67"/>
      <c r="X331" s="68"/>
      <c r="Y331" s="44"/>
      <c r="Z331" s="44"/>
      <c r="AA331" s="44"/>
      <c r="AB331" s="44"/>
      <c r="AC331" s="44"/>
    </row>
    <row r="332" spans="18:29" ht="14.6">
      <c r="R332" s="63"/>
      <c r="S332" s="64"/>
      <c r="T332" s="65"/>
      <c r="U332" s="63"/>
      <c r="V332" s="66"/>
      <c r="W332" s="67"/>
      <c r="X332" s="68"/>
      <c r="Y332" s="44"/>
      <c r="Z332" s="44"/>
      <c r="AA332" s="44"/>
      <c r="AB332" s="44"/>
      <c r="AC332" s="44"/>
    </row>
    <row r="333" spans="18:29" ht="14.6">
      <c r="R333" s="63"/>
      <c r="S333" s="64"/>
      <c r="T333" s="65"/>
      <c r="U333" s="63"/>
      <c r="V333" s="66"/>
      <c r="W333" s="67"/>
      <c r="X333" s="68"/>
      <c r="Y333" s="44"/>
      <c r="Z333" s="44"/>
      <c r="AA333" s="44"/>
      <c r="AB333" s="44"/>
      <c r="AC333" s="44"/>
    </row>
    <row r="334" spans="18:29" ht="14.6">
      <c r="R334" s="63"/>
      <c r="S334" s="64"/>
      <c r="T334" s="65"/>
      <c r="U334" s="63"/>
      <c r="V334" s="66"/>
      <c r="W334" s="67"/>
      <c r="X334" s="68"/>
      <c r="Y334" s="44"/>
      <c r="Z334" s="44"/>
      <c r="AA334" s="44"/>
      <c r="AB334" s="44"/>
      <c r="AC334" s="44"/>
    </row>
    <row r="335" spans="18:29" ht="14.6">
      <c r="R335" s="63"/>
      <c r="S335" s="64"/>
      <c r="T335" s="65"/>
      <c r="U335" s="63"/>
      <c r="V335" s="66"/>
      <c r="W335" s="67"/>
      <c r="X335" s="68"/>
      <c r="Y335" s="44"/>
      <c r="Z335" s="44"/>
      <c r="AA335" s="44"/>
      <c r="AB335" s="44"/>
      <c r="AC335" s="44"/>
    </row>
    <row r="336" spans="18:29" ht="14.6">
      <c r="R336" s="63"/>
      <c r="S336" s="64"/>
      <c r="T336" s="65"/>
      <c r="U336" s="63"/>
      <c r="V336" s="66"/>
      <c r="W336" s="67"/>
      <c r="X336" s="68"/>
      <c r="Y336" s="44"/>
      <c r="Z336" s="44"/>
      <c r="AA336" s="44"/>
      <c r="AB336" s="44"/>
      <c r="AC336" s="44"/>
    </row>
    <row r="337" spans="18:29" ht="14.6">
      <c r="R337" s="63"/>
      <c r="S337" s="64"/>
      <c r="T337" s="65"/>
      <c r="U337" s="63"/>
      <c r="V337" s="66"/>
      <c r="W337" s="67"/>
      <c r="X337" s="68"/>
      <c r="Y337" s="44"/>
      <c r="Z337" s="44"/>
      <c r="AA337" s="44"/>
      <c r="AB337" s="44"/>
      <c r="AC337" s="44"/>
    </row>
    <row r="338" spans="18:29" ht="14.6">
      <c r="R338" s="63"/>
      <c r="S338" s="64"/>
      <c r="T338" s="65"/>
      <c r="U338" s="63"/>
      <c r="V338" s="66"/>
      <c r="W338" s="67"/>
      <c r="X338" s="68"/>
      <c r="Y338" s="44"/>
      <c r="Z338" s="44"/>
      <c r="AA338" s="44"/>
      <c r="AB338" s="44"/>
      <c r="AC338" s="44"/>
    </row>
    <row r="339" spans="18:29" ht="14.6">
      <c r="R339" s="63"/>
      <c r="S339" s="64"/>
      <c r="T339" s="65"/>
      <c r="U339" s="63"/>
      <c r="V339" s="66"/>
      <c r="W339" s="67"/>
      <c r="X339" s="68"/>
      <c r="Y339" s="44"/>
      <c r="Z339" s="44"/>
      <c r="AA339" s="44"/>
      <c r="AB339" s="44"/>
      <c r="AC339" s="44"/>
    </row>
    <row r="340" spans="18:29" ht="14.6">
      <c r="R340" s="63"/>
      <c r="S340" s="64"/>
      <c r="T340" s="65"/>
      <c r="U340" s="63"/>
      <c r="V340" s="66"/>
      <c r="W340" s="67"/>
      <c r="X340" s="68"/>
      <c r="Y340" s="44"/>
      <c r="Z340" s="44"/>
      <c r="AA340" s="44"/>
      <c r="AB340" s="44"/>
      <c r="AC340" s="44"/>
    </row>
    <row r="341" spans="18:29" ht="14.6">
      <c r="R341" s="63"/>
      <c r="S341" s="64"/>
      <c r="T341" s="65"/>
      <c r="U341" s="63"/>
      <c r="V341" s="66"/>
      <c r="W341" s="67"/>
      <c r="X341" s="68"/>
      <c r="Y341" s="44"/>
      <c r="Z341" s="44"/>
      <c r="AA341" s="44"/>
      <c r="AB341" s="44"/>
      <c r="AC341" s="44"/>
    </row>
    <row r="342" spans="18:29" ht="14.6">
      <c r="R342" s="63"/>
      <c r="S342" s="64"/>
      <c r="T342" s="65"/>
      <c r="U342" s="63"/>
      <c r="V342" s="66"/>
      <c r="W342" s="67"/>
      <c r="X342" s="68"/>
      <c r="Y342" s="44"/>
      <c r="Z342" s="44"/>
      <c r="AA342" s="44"/>
      <c r="AB342" s="44"/>
      <c r="AC342" s="44"/>
    </row>
    <row r="343" spans="18:29" ht="14.6">
      <c r="R343" s="63"/>
      <c r="S343" s="64"/>
      <c r="T343" s="65"/>
      <c r="U343" s="63"/>
      <c r="V343" s="66"/>
      <c r="W343" s="67"/>
      <c r="X343" s="68"/>
      <c r="Y343" s="44"/>
      <c r="Z343" s="44"/>
      <c r="AA343" s="44"/>
      <c r="AB343" s="44"/>
      <c r="AC343" s="44"/>
    </row>
    <row r="344" spans="18:29" ht="14.6">
      <c r="R344" s="63"/>
      <c r="S344" s="64"/>
      <c r="T344" s="65"/>
      <c r="U344" s="63"/>
      <c r="V344" s="66"/>
      <c r="W344" s="67"/>
      <c r="X344" s="68"/>
      <c r="Y344" s="44"/>
      <c r="Z344" s="44"/>
      <c r="AA344" s="44"/>
      <c r="AB344" s="44"/>
      <c r="AC344" s="44"/>
    </row>
    <row r="345" spans="18:29" ht="14.6">
      <c r="R345" s="63"/>
      <c r="S345" s="64"/>
      <c r="T345" s="65"/>
      <c r="U345" s="63"/>
      <c r="V345" s="66"/>
      <c r="W345" s="67"/>
      <c r="X345" s="68"/>
      <c r="Y345" s="44"/>
      <c r="Z345" s="44"/>
      <c r="AA345" s="44"/>
      <c r="AB345" s="44"/>
      <c r="AC345" s="44"/>
    </row>
    <row r="346" spans="18:29" ht="14.6">
      <c r="R346" s="63"/>
      <c r="S346" s="64"/>
      <c r="T346" s="65"/>
      <c r="U346" s="63"/>
      <c r="V346" s="66"/>
      <c r="W346" s="67"/>
      <c r="X346" s="68"/>
      <c r="Y346" s="44"/>
      <c r="Z346" s="44"/>
      <c r="AA346" s="44"/>
      <c r="AB346" s="44"/>
      <c r="AC346" s="44"/>
    </row>
    <row r="347" spans="18:29" ht="14.6">
      <c r="R347" s="63"/>
      <c r="S347" s="64"/>
      <c r="T347" s="65"/>
      <c r="U347" s="63"/>
      <c r="V347" s="66"/>
      <c r="W347" s="67"/>
      <c r="X347" s="68"/>
      <c r="Y347" s="44"/>
      <c r="Z347" s="44"/>
      <c r="AA347" s="44"/>
      <c r="AB347" s="44"/>
      <c r="AC347" s="44"/>
    </row>
    <row r="348" spans="18:29" ht="14.6">
      <c r="R348" s="63"/>
      <c r="S348" s="64"/>
      <c r="T348" s="65"/>
      <c r="U348" s="63"/>
      <c r="V348" s="66"/>
      <c r="W348" s="67"/>
      <c r="X348" s="68"/>
      <c r="Y348" s="44"/>
      <c r="Z348" s="44"/>
      <c r="AA348" s="44"/>
      <c r="AB348" s="44"/>
      <c r="AC348" s="44"/>
    </row>
    <row r="349" spans="18:29" ht="14.6">
      <c r="R349" s="63"/>
      <c r="S349" s="64"/>
      <c r="T349" s="65"/>
      <c r="U349" s="63"/>
      <c r="V349" s="66"/>
      <c r="W349" s="67"/>
      <c r="X349" s="68"/>
      <c r="Y349" s="44"/>
      <c r="Z349" s="44"/>
      <c r="AA349" s="44"/>
      <c r="AB349" s="44"/>
      <c r="AC349" s="44"/>
    </row>
    <row r="350" spans="18:29" ht="14.6">
      <c r="R350" s="63"/>
      <c r="S350" s="64"/>
      <c r="T350" s="65"/>
      <c r="U350" s="63"/>
      <c r="V350" s="66"/>
      <c r="W350" s="67"/>
      <c r="X350" s="68"/>
      <c r="Y350" s="44"/>
      <c r="Z350" s="44"/>
      <c r="AA350" s="44"/>
      <c r="AB350" s="44"/>
      <c r="AC350" s="44"/>
    </row>
    <row r="351" spans="18:29" ht="14.6">
      <c r="R351" s="63"/>
      <c r="S351" s="64"/>
      <c r="T351" s="65"/>
      <c r="U351" s="63"/>
      <c r="V351" s="66"/>
      <c r="W351" s="67"/>
      <c r="X351" s="68"/>
      <c r="Y351" s="44"/>
      <c r="Z351" s="44"/>
      <c r="AA351" s="44"/>
      <c r="AB351" s="44"/>
      <c r="AC351" s="44"/>
    </row>
    <row r="352" spans="18:29" ht="14.6">
      <c r="R352" s="63"/>
      <c r="S352" s="64"/>
      <c r="T352" s="65"/>
      <c r="U352" s="63"/>
      <c r="V352" s="66"/>
      <c r="W352" s="67"/>
      <c r="X352" s="68"/>
      <c r="Y352" s="44"/>
      <c r="Z352" s="44"/>
      <c r="AA352" s="44"/>
      <c r="AB352" s="44"/>
      <c r="AC352" s="44"/>
    </row>
    <row r="353" spans="18:29" ht="14.6">
      <c r="R353" s="63"/>
      <c r="S353" s="64"/>
      <c r="T353" s="65"/>
      <c r="U353" s="63"/>
      <c r="V353" s="66"/>
      <c r="W353" s="67"/>
      <c r="X353" s="68"/>
      <c r="Y353" s="44"/>
      <c r="Z353" s="44"/>
      <c r="AA353" s="44"/>
      <c r="AB353" s="44"/>
      <c r="AC353" s="44"/>
    </row>
    <row r="354" spans="18:29" ht="14.6">
      <c r="R354" s="63"/>
      <c r="S354" s="64"/>
      <c r="T354" s="65"/>
      <c r="U354" s="63"/>
      <c r="V354" s="66"/>
      <c r="W354" s="67"/>
      <c r="X354" s="68"/>
      <c r="Y354" s="44"/>
      <c r="Z354" s="44"/>
      <c r="AA354" s="44"/>
      <c r="AB354" s="44"/>
      <c r="AC354" s="44"/>
    </row>
    <row r="355" spans="18:29" ht="14.6">
      <c r="R355" s="63"/>
      <c r="S355" s="64"/>
      <c r="T355" s="65"/>
      <c r="U355" s="63"/>
      <c r="V355" s="66"/>
      <c r="W355" s="67"/>
      <c r="X355" s="68"/>
      <c r="Y355" s="44"/>
      <c r="Z355" s="44"/>
      <c r="AA355" s="44"/>
      <c r="AB355" s="44"/>
      <c r="AC355" s="44"/>
    </row>
    <row r="356" spans="18:29" ht="14.6">
      <c r="R356" s="63"/>
      <c r="S356" s="64"/>
      <c r="T356" s="65"/>
      <c r="U356" s="63"/>
      <c r="V356" s="66"/>
      <c r="W356" s="67"/>
      <c r="X356" s="68"/>
      <c r="Y356" s="44"/>
      <c r="Z356" s="44"/>
      <c r="AA356" s="44"/>
      <c r="AB356" s="44"/>
      <c r="AC356" s="44"/>
    </row>
    <row r="357" spans="18:29" ht="14.6">
      <c r="R357" s="63"/>
      <c r="S357" s="64"/>
      <c r="T357" s="65"/>
      <c r="U357" s="63"/>
      <c r="V357" s="66"/>
      <c r="W357" s="67"/>
      <c r="X357" s="68"/>
      <c r="Y357" s="44"/>
      <c r="Z357" s="44"/>
      <c r="AA357" s="44"/>
      <c r="AB357" s="44"/>
      <c r="AC357" s="44"/>
    </row>
    <row r="358" spans="18:29" ht="14.6">
      <c r="R358" s="63"/>
      <c r="S358" s="64"/>
      <c r="T358" s="65"/>
      <c r="U358" s="63"/>
      <c r="V358" s="66"/>
      <c r="W358" s="67"/>
      <c r="X358" s="68"/>
      <c r="Y358" s="44"/>
      <c r="Z358" s="44"/>
      <c r="AA358" s="44"/>
      <c r="AB358" s="44"/>
      <c r="AC358" s="44"/>
    </row>
    <row r="359" spans="18:29" ht="14.6">
      <c r="R359" s="63"/>
      <c r="S359" s="64"/>
      <c r="T359" s="65"/>
      <c r="U359" s="63"/>
      <c r="V359" s="66"/>
      <c r="W359" s="67"/>
      <c r="X359" s="68"/>
      <c r="Y359" s="44"/>
      <c r="Z359" s="44"/>
      <c r="AA359" s="44"/>
      <c r="AB359" s="44"/>
      <c r="AC359" s="44"/>
    </row>
    <row r="360" spans="18:29" ht="14.6">
      <c r="R360" s="63"/>
      <c r="S360" s="64"/>
      <c r="T360" s="65"/>
      <c r="U360" s="63"/>
      <c r="V360" s="66"/>
      <c r="W360" s="67"/>
      <c r="X360" s="68"/>
      <c r="Y360" s="44"/>
      <c r="Z360" s="44"/>
      <c r="AA360" s="44"/>
      <c r="AB360" s="44"/>
      <c r="AC360" s="44"/>
    </row>
    <row r="361" spans="18:29" ht="14.6">
      <c r="R361" s="63"/>
      <c r="S361" s="64"/>
      <c r="T361" s="65"/>
      <c r="U361" s="63"/>
      <c r="V361" s="66"/>
      <c r="W361" s="67"/>
      <c r="X361" s="68"/>
      <c r="Y361" s="44"/>
      <c r="Z361" s="44"/>
      <c r="AA361" s="44"/>
      <c r="AB361" s="44"/>
      <c r="AC361" s="44"/>
    </row>
    <row r="362" spans="18:29" ht="14.6">
      <c r="R362" s="63"/>
      <c r="S362" s="64"/>
      <c r="T362" s="65"/>
      <c r="U362" s="63"/>
      <c r="V362" s="66"/>
      <c r="W362" s="67"/>
      <c r="X362" s="68"/>
      <c r="Y362" s="44"/>
      <c r="Z362" s="44"/>
      <c r="AA362" s="44"/>
      <c r="AB362" s="44"/>
      <c r="AC362" s="44"/>
    </row>
    <row r="363" spans="18:29" ht="14.6">
      <c r="R363" s="63"/>
      <c r="S363" s="64"/>
      <c r="T363" s="65"/>
      <c r="U363" s="63"/>
      <c r="V363" s="66"/>
      <c r="W363" s="67"/>
      <c r="X363" s="68"/>
      <c r="Y363" s="44"/>
      <c r="Z363" s="44"/>
      <c r="AA363" s="44"/>
      <c r="AB363" s="44"/>
      <c r="AC363" s="44"/>
    </row>
    <row r="364" spans="18:29" ht="14.6">
      <c r="R364" s="63"/>
      <c r="S364" s="64"/>
      <c r="T364" s="65"/>
      <c r="U364" s="63"/>
      <c r="V364" s="66"/>
      <c r="W364" s="67"/>
      <c r="X364" s="68"/>
      <c r="Y364" s="44"/>
      <c r="Z364" s="44"/>
      <c r="AA364" s="44"/>
      <c r="AB364" s="44"/>
      <c r="AC364" s="44"/>
    </row>
    <row r="365" spans="18:29" ht="14.6">
      <c r="R365" s="63"/>
      <c r="S365" s="64"/>
      <c r="T365" s="65"/>
      <c r="U365" s="63"/>
      <c r="V365" s="66"/>
      <c r="W365" s="67"/>
      <c r="X365" s="68"/>
      <c r="Y365" s="44"/>
      <c r="Z365" s="44"/>
      <c r="AA365" s="44"/>
      <c r="AB365" s="44"/>
      <c r="AC365" s="44"/>
    </row>
    <row r="366" spans="18:29" ht="14.6">
      <c r="R366" s="63"/>
      <c r="S366" s="64"/>
      <c r="T366" s="65"/>
      <c r="U366" s="63"/>
      <c r="V366" s="66"/>
      <c r="W366" s="67"/>
      <c r="X366" s="68"/>
      <c r="Y366" s="44"/>
      <c r="Z366" s="44"/>
      <c r="AA366" s="44"/>
      <c r="AB366" s="44"/>
      <c r="AC366" s="44"/>
    </row>
    <row r="367" spans="18:29" ht="14.6">
      <c r="R367" s="63"/>
      <c r="S367" s="64"/>
      <c r="T367" s="65"/>
      <c r="U367" s="63"/>
      <c r="V367" s="66"/>
      <c r="W367" s="67"/>
      <c r="X367" s="68"/>
      <c r="Y367" s="44"/>
      <c r="Z367" s="44"/>
      <c r="AA367" s="44"/>
      <c r="AB367" s="44"/>
      <c r="AC367" s="44"/>
    </row>
    <row r="368" spans="18:29" ht="14.6">
      <c r="R368" s="63"/>
      <c r="S368" s="64"/>
      <c r="T368" s="65"/>
      <c r="U368" s="63"/>
      <c r="V368" s="66"/>
      <c r="W368" s="67"/>
      <c r="X368" s="68"/>
      <c r="Y368" s="44"/>
      <c r="Z368" s="44"/>
      <c r="AA368" s="44"/>
      <c r="AB368" s="44"/>
      <c r="AC368" s="44"/>
    </row>
    <row r="369" spans="18:29" ht="14.6">
      <c r="R369" s="63"/>
      <c r="S369" s="64"/>
      <c r="T369" s="65"/>
      <c r="U369" s="63"/>
      <c r="V369" s="66"/>
      <c r="W369" s="67"/>
      <c r="X369" s="68"/>
      <c r="Y369" s="44"/>
      <c r="Z369" s="44"/>
      <c r="AA369" s="44"/>
      <c r="AB369" s="44"/>
      <c r="AC369" s="44"/>
    </row>
    <row r="370" spans="18:29" ht="14.6">
      <c r="R370" s="63"/>
      <c r="S370" s="64"/>
      <c r="T370" s="65"/>
      <c r="U370" s="63"/>
      <c r="V370" s="66"/>
      <c r="W370" s="67"/>
      <c r="X370" s="68"/>
      <c r="Y370" s="44"/>
      <c r="Z370" s="44"/>
      <c r="AA370" s="44"/>
      <c r="AB370" s="44"/>
      <c r="AC370" s="44"/>
    </row>
    <row r="371" spans="18:29" ht="14.6">
      <c r="R371" s="63"/>
      <c r="S371" s="64"/>
      <c r="T371" s="65"/>
      <c r="U371" s="63"/>
      <c r="V371" s="66"/>
      <c r="W371" s="67"/>
      <c r="X371" s="68"/>
      <c r="Y371" s="44"/>
      <c r="Z371" s="44"/>
      <c r="AA371" s="44"/>
      <c r="AB371" s="44"/>
      <c r="AC371" s="44"/>
    </row>
    <row r="372" spans="18:29" ht="14.6">
      <c r="R372" s="63"/>
      <c r="S372" s="64"/>
      <c r="T372" s="65"/>
      <c r="U372" s="63"/>
      <c r="V372" s="66"/>
      <c r="W372" s="67"/>
      <c r="X372" s="68"/>
      <c r="Y372" s="44"/>
      <c r="Z372" s="44"/>
      <c r="AA372" s="44"/>
      <c r="AB372" s="44"/>
      <c r="AC372" s="44"/>
    </row>
    <row r="373" spans="18:29" ht="14.6">
      <c r="R373" s="63"/>
      <c r="S373" s="64"/>
      <c r="T373" s="65"/>
      <c r="U373" s="63"/>
      <c r="V373" s="66"/>
      <c r="W373" s="67"/>
      <c r="X373" s="68"/>
      <c r="Y373" s="44"/>
      <c r="Z373" s="44"/>
      <c r="AA373" s="44"/>
      <c r="AB373" s="44"/>
      <c r="AC373" s="44"/>
    </row>
    <row r="374" spans="18:29" ht="14.6">
      <c r="R374" s="63"/>
      <c r="S374" s="64"/>
      <c r="T374" s="65"/>
      <c r="U374" s="63"/>
      <c r="V374" s="66"/>
      <c r="W374" s="67"/>
      <c r="X374" s="68"/>
      <c r="Y374" s="44"/>
      <c r="Z374" s="44"/>
      <c r="AA374" s="44"/>
      <c r="AB374" s="44"/>
      <c r="AC374" s="44"/>
    </row>
    <row r="375" spans="18:29" ht="14.6">
      <c r="R375" s="63"/>
      <c r="S375" s="64"/>
      <c r="T375" s="65"/>
      <c r="U375" s="63"/>
      <c r="V375" s="66"/>
      <c r="W375" s="67"/>
      <c r="X375" s="68"/>
      <c r="Y375" s="44"/>
      <c r="Z375" s="44"/>
      <c r="AA375" s="44"/>
      <c r="AB375" s="44"/>
      <c r="AC375" s="44"/>
    </row>
    <row r="376" spans="18:29" ht="14.6">
      <c r="R376" s="63"/>
      <c r="S376" s="64"/>
      <c r="T376" s="65"/>
      <c r="U376" s="63"/>
      <c r="V376" s="66"/>
      <c r="W376" s="67"/>
      <c r="X376" s="68"/>
      <c r="Y376" s="44"/>
      <c r="Z376" s="44"/>
      <c r="AA376" s="44"/>
      <c r="AB376" s="44"/>
      <c r="AC376" s="44"/>
    </row>
    <row r="377" spans="18:29" ht="14.6">
      <c r="R377" s="63"/>
      <c r="S377" s="64"/>
      <c r="T377" s="65"/>
      <c r="U377" s="63"/>
      <c r="V377" s="66"/>
      <c r="W377" s="67"/>
      <c r="X377" s="68"/>
      <c r="Y377" s="44"/>
      <c r="Z377" s="44"/>
      <c r="AA377" s="44"/>
      <c r="AB377" s="44"/>
      <c r="AC377" s="44"/>
    </row>
    <row r="378" spans="18:29" ht="14.6">
      <c r="R378" s="63"/>
      <c r="S378" s="64"/>
      <c r="T378" s="65"/>
      <c r="U378" s="63"/>
      <c r="V378" s="66"/>
      <c r="W378" s="67"/>
      <c r="X378" s="68"/>
      <c r="Y378" s="44"/>
      <c r="Z378" s="44"/>
      <c r="AA378" s="44"/>
      <c r="AB378" s="44"/>
      <c r="AC378" s="44"/>
    </row>
    <row r="379" spans="18:29" ht="14.6">
      <c r="R379" s="63"/>
      <c r="S379" s="64"/>
      <c r="T379" s="65"/>
      <c r="U379" s="63"/>
      <c r="V379" s="66"/>
      <c r="W379" s="67"/>
      <c r="X379" s="68"/>
      <c r="Y379" s="44"/>
      <c r="Z379" s="44"/>
      <c r="AA379" s="44"/>
      <c r="AB379" s="44"/>
      <c r="AC379" s="44"/>
    </row>
    <row r="380" spans="18:29" ht="14.6">
      <c r="R380" s="63"/>
      <c r="S380" s="64"/>
      <c r="T380" s="65"/>
      <c r="U380" s="63"/>
      <c r="V380" s="66"/>
      <c r="W380" s="67"/>
      <c r="X380" s="68"/>
      <c r="Y380" s="44"/>
      <c r="Z380" s="44"/>
      <c r="AA380" s="44"/>
      <c r="AB380" s="44"/>
      <c r="AC380" s="44"/>
    </row>
    <row r="381" spans="18:29" ht="14.6">
      <c r="R381" s="63"/>
      <c r="S381" s="64"/>
      <c r="T381" s="65"/>
      <c r="U381" s="63"/>
      <c r="V381" s="66"/>
      <c r="W381" s="67"/>
      <c r="X381" s="68"/>
      <c r="Y381" s="44"/>
      <c r="Z381" s="44"/>
      <c r="AA381" s="44"/>
      <c r="AB381" s="44"/>
      <c r="AC381" s="44"/>
    </row>
    <row r="382" spans="18:29" ht="14.6">
      <c r="R382" s="63"/>
      <c r="S382" s="64"/>
      <c r="T382" s="65"/>
      <c r="U382" s="63"/>
      <c r="V382" s="66"/>
      <c r="W382" s="67"/>
      <c r="X382" s="68"/>
      <c r="Y382" s="44"/>
      <c r="Z382" s="44"/>
      <c r="AA382" s="44"/>
      <c r="AB382" s="44"/>
      <c r="AC382" s="44"/>
    </row>
    <row r="383" spans="18:29" ht="14.6">
      <c r="R383" s="63"/>
      <c r="S383" s="64"/>
      <c r="T383" s="65"/>
      <c r="U383" s="63"/>
      <c r="V383" s="66"/>
      <c r="W383" s="67"/>
      <c r="X383" s="68"/>
      <c r="Y383" s="44"/>
      <c r="Z383" s="44"/>
      <c r="AA383" s="44"/>
      <c r="AB383" s="44"/>
      <c r="AC383" s="44"/>
    </row>
    <row r="384" spans="18:29" ht="14.6">
      <c r="R384" s="63"/>
      <c r="S384" s="64"/>
      <c r="T384" s="65"/>
      <c r="U384" s="63"/>
      <c r="V384" s="66"/>
      <c r="W384" s="67"/>
      <c r="X384" s="68"/>
      <c r="Y384" s="44"/>
      <c r="Z384" s="44"/>
      <c r="AA384" s="44"/>
      <c r="AB384" s="44"/>
      <c r="AC384" s="44"/>
    </row>
    <row r="385" spans="18:29" ht="14.6">
      <c r="R385" s="63"/>
      <c r="S385" s="64"/>
      <c r="T385" s="65"/>
      <c r="U385" s="63"/>
      <c r="V385" s="66"/>
      <c r="W385" s="67"/>
      <c r="X385" s="68"/>
      <c r="Y385" s="44"/>
      <c r="Z385" s="44"/>
      <c r="AA385" s="44"/>
      <c r="AB385" s="44"/>
      <c r="AC385" s="44"/>
    </row>
    <row r="386" spans="18:29" ht="14.6">
      <c r="R386" s="63"/>
      <c r="S386" s="64"/>
      <c r="T386" s="65"/>
      <c r="U386" s="63"/>
      <c r="V386" s="66"/>
      <c r="W386" s="67"/>
      <c r="X386" s="68"/>
      <c r="Y386" s="44"/>
      <c r="Z386" s="44"/>
      <c r="AA386" s="44"/>
      <c r="AB386" s="44"/>
      <c r="AC386" s="44"/>
    </row>
    <row r="387" spans="18:29" ht="14.6">
      <c r="R387" s="63"/>
      <c r="S387" s="64"/>
      <c r="T387" s="65"/>
      <c r="U387" s="63"/>
      <c r="V387" s="66"/>
      <c r="W387" s="67"/>
      <c r="X387" s="68"/>
      <c r="Y387" s="44"/>
      <c r="Z387" s="44"/>
      <c r="AA387" s="44"/>
      <c r="AB387" s="44"/>
      <c r="AC387" s="44"/>
    </row>
    <row r="388" spans="18:29" ht="14.6">
      <c r="R388" s="63"/>
      <c r="S388" s="64"/>
      <c r="T388" s="65"/>
      <c r="U388" s="63"/>
      <c r="V388" s="66"/>
      <c r="W388" s="67"/>
      <c r="X388" s="68"/>
      <c r="Y388" s="44"/>
      <c r="Z388" s="44"/>
      <c r="AA388" s="44"/>
      <c r="AB388" s="44"/>
      <c r="AC388" s="44"/>
    </row>
    <row r="389" spans="18:29" ht="14.6">
      <c r="R389" s="63"/>
      <c r="S389" s="64"/>
      <c r="T389" s="65"/>
      <c r="U389" s="63"/>
      <c r="V389" s="66"/>
      <c r="W389" s="67"/>
      <c r="X389" s="68"/>
      <c r="Y389" s="44"/>
      <c r="Z389" s="44"/>
      <c r="AA389" s="44"/>
      <c r="AB389" s="44"/>
      <c r="AC389" s="44"/>
    </row>
    <row r="390" spans="18:29" ht="14.6">
      <c r="R390" s="63"/>
      <c r="S390" s="64"/>
      <c r="T390" s="65"/>
      <c r="U390" s="63"/>
      <c r="V390" s="66"/>
      <c r="W390" s="67"/>
      <c r="X390" s="68"/>
      <c r="Y390" s="44"/>
      <c r="Z390" s="44"/>
      <c r="AA390" s="44"/>
      <c r="AB390" s="44"/>
      <c r="AC390" s="44"/>
    </row>
    <row r="391" spans="18:29" ht="14.6">
      <c r="R391" s="63"/>
      <c r="S391" s="64"/>
      <c r="T391" s="65"/>
      <c r="U391" s="63"/>
      <c r="V391" s="66"/>
      <c r="W391" s="67"/>
      <c r="X391" s="68"/>
      <c r="Y391" s="44"/>
      <c r="Z391" s="44"/>
      <c r="AA391" s="44"/>
      <c r="AB391" s="44"/>
      <c r="AC391" s="44"/>
    </row>
    <row r="392" spans="18:29" ht="14.6">
      <c r="R392" s="63"/>
      <c r="S392" s="64"/>
      <c r="T392" s="65"/>
      <c r="U392" s="63"/>
      <c r="V392" s="66"/>
      <c r="W392" s="67"/>
      <c r="X392" s="68"/>
      <c r="Y392" s="44"/>
      <c r="Z392" s="44"/>
      <c r="AA392" s="44"/>
      <c r="AB392" s="44"/>
      <c r="AC392" s="44"/>
    </row>
    <row r="393" spans="18:29" ht="14.6">
      <c r="R393" s="63"/>
      <c r="S393" s="64"/>
      <c r="T393" s="65"/>
      <c r="U393" s="63"/>
      <c r="V393" s="66"/>
      <c r="W393" s="67"/>
      <c r="X393" s="68"/>
      <c r="Y393" s="44"/>
      <c r="Z393" s="44"/>
      <c r="AA393" s="44"/>
      <c r="AB393" s="44"/>
      <c r="AC393" s="44"/>
    </row>
    <row r="394" spans="18:29" ht="14.6">
      <c r="R394" s="63"/>
      <c r="S394" s="64"/>
      <c r="T394" s="65"/>
      <c r="U394" s="63"/>
      <c r="V394" s="66"/>
      <c r="W394" s="67"/>
      <c r="X394" s="68"/>
      <c r="Y394" s="44"/>
      <c r="Z394" s="44"/>
      <c r="AA394" s="44"/>
      <c r="AB394" s="44"/>
      <c r="AC394" s="44"/>
    </row>
    <row r="395" spans="18:29" ht="14.6">
      <c r="R395" s="63"/>
      <c r="S395" s="64"/>
      <c r="T395" s="65"/>
      <c r="U395" s="63"/>
      <c r="V395" s="66"/>
      <c r="W395" s="67"/>
      <c r="X395" s="68"/>
      <c r="Y395" s="44"/>
      <c r="Z395" s="44"/>
      <c r="AA395" s="44"/>
      <c r="AB395" s="44"/>
      <c r="AC395" s="44"/>
    </row>
    <row r="396" spans="18:29" ht="14.6">
      <c r="R396" s="63"/>
      <c r="S396" s="64"/>
      <c r="T396" s="65"/>
      <c r="U396" s="63"/>
      <c r="V396" s="66"/>
      <c r="W396" s="67"/>
      <c r="X396" s="68"/>
      <c r="Y396" s="44"/>
      <c r="Z396" s="44"/>
      <c r="AA396" s="44"/>
      <c r="AB396" s="44"/>
      <c r="AC396" s="44"/>
    </row>
    <row r="397" spans="18:29" ht="14.6">
      <c r="R397" s="63"/>
      <c r="S397" s="64"/>
      <c r="T397" s="65"/>
      <c r="U397" s="63"/>
      <c r="V397" s="66"/>
      <c r="W397" s="67"/>
      <c r="X397" s="68"/>
      <c r="Y397" s="44"/>
      <c r="Z397" s="44"/>
      <c r="AA397" s="44"/>
      <c r="AB397" s="44"/>
      <c r="AC397" s="44"/>
    </row>
    <row r="398" spans="18:29" ht="14.6">
      <c r="R398" s="63"/>
      <c r="S398" s="64"/>
      <c r="T398" s="65"/>
      <c r="U398" s="63"/>
      <c r="V398" s="66"/>
      <c r="W398" s="67"/>
      <c r="X398" s="68"/>
      <c r="Y398" s="44"/>
      <c r="Z398" s="44"/>
      <c r="AA398" s="44"/>
      <c r="AB398" s="44"/>
      <c r="AC398" s="44"/>
    </row>
    <row r="399" spans="18:29" ht="14.6">
      <c r="R399" s="63"/>
      <c r="S399" s="64"/>
      <c r="T399" s="65"/>
      <c r="U399" s="63"/>
      <c r="V399" s="66"/>
      <c r="W399" s="67"/>
      <c r="X399" s="68"/>
      <c r="Y399" s="44"/>
      <c r="Z399" s="44"/>
      <c r="AA399" s="44"/>
      <c r="AB399" s="44"/>
      <c r="AC399" s="44"/>
    </row>
    <row r="400" spans="18:29" ht="14.6">
      <c r="R400" s="63"/>
      <c r="S400" s="64"/>
      <c r="T400" s="65"/>
      <c r="U400" s="63"/>
      <c r="V400" s="66"/>
      <c r="W400" s="67"/>
      <c r="X400" s="68"/>
      <c r="Y400" s="44"/>
      <c r="Z400" s="44"/>
      <c r="AA400" s="44"/>
      <c r="AB400" s="44"/>
      <c r="AC400" s="44"/>
    </row>
    <row r="401" spans="18:29" ht="14.6">
      <c r="R401" s="63"/>
      <c r="S401" s="64"/>
      <c r="T401" s="65"/>
      <c r="U401" s="63"/>
      <c r="V401" s="66"/>
      <c r="W401" s="67"/>
      <c r="X401" s="68"/>
      <c r="Y401" s="44"/>
      <c r="Z401" s="44"/>
      <c r="AA401" s="44"/>
      <c r="AB401" s="44"/>
      <c r="AC401" s="44"/>
    </row>
    <row r="402" spans="18:29" ht="14.6">
      <c r="R402" s="63"/>
      <c r="S402" s="64"/>
      <c r="T402" s="65"/>
      <c r="U402" s="63"/>
      <c r="V402" s="66"/>
      <c r="W402" s="67"/>
      <c r="X402" s="68"/>
      <c r="Y402" s="44"/>
      <c r="Z402" s="44"/>
      <c r="AA402" s="44"/>
      <c r="AB402" s="44"/>
      <c r="AC402" s="44"/>
    </row>
    <row r="403" spans="18:29" ht="14.6">
      <c r="R403" s="63"/>
      <c r="S403" s="64"/>
      <c r="T403" s="65"/>
      <c r="U403" s="63"/>
      <c r="V403" s="66"/>
      <c r="W403" s="67"/>
      <c r="X403" s="68"/>
      <c r="Y403" s="44"/>
      <c r="Z403" s="44"/>
      <c r="AA403" s="44"/>
      <c r="AB403" s="44"/>
      <c r="AC403" s="44"/>
    </row>
    <row r="404" spans="18:29" ht="14.6">
      <c r="R404" s="63"/>
      <c r="S404" s="64"/>
      <c r="T404" s="65"/>
      <c r="U404" s="63"/>
      <c r="V404" s="66"/>
      <c r="W404" s="67"/>
      <c r="X404" s="68"/>
      <c r="Y404" s="44"/>
      <c r="Z404" s="44"/>
      <c r="AA404" s="44"/>
      <c r="AB404" s="44"/>
      <c r="AC404" s="44"/>
    </row>
    <row r="405" spans="18:29" ht="14.6">
      <c r="R405" s="63"/>
      <c r="S405" s="64"/>
      <c r="T405" s="65"/>
      <c r="U405" s="63"/>
      <c r="V405" s="66"/>
      <c r="W405" s="67"/>
      <c r="X405" s="68"/>
      <c r="Y405" s="44"/>
      <c r="Z405" s="44"/>
      <c r="AA405" s="44"/>
      <c r="AB405" s="44"/>
      <c r="AC405" s="44"/>
    </row>
    <row r="406" spans="18:29" ht="14.6">
      <c r="R406" s="63"/>
      <c r="S406" s="64"/>
      <c r="T406" s="65"/>
      <c r="U406" s="63"/>
      <c r="V406" s="66"/>
      <c r="W406" s="67"/>
      <c r="X406" s="68"/>
      <c r="Y406" s="44"/>
      <c r="Z406" s="44"/>
      <c r="AA406" s="44"/>
      <c r="AB406" s="44"/>
      <c r="AC406" s="44"/>
    </row>
    <row r="407" spans="18:29" ht="14.6">
      <c r="R407" s="63"/>
      <c r="S407" s="64"/>
      <c r="T407" s="65"/>
      <c r="U407" s="63"/>
      <c r="V407" s="66"/>
      <c r="W407" s="67"/>
      <c r="X407" s="68"/>
      <c r="Y407" s="44"/>
      <c r="Z407" s="44"/>
      <c r="AA407" s="44"/>
      <c r="AB407" s="44"/>
      <c r="AC407" s="44"/>
    </row>
    <row r="408" spans="18:29" ht="14.6">
      <c r="R408" s="63"/>
      <c r="S408" s="64"/>
      <c r="T408" s="65"/>
      <c r="U408" s="63"/>
      <c r="V408" s="66"/>
      <c r="W408" s="67"/>
      <c r="X408" s="68"/>
      <c r="Y408" s="44"/>
      <c r="Z408" s="44"/>
      <c r="AA408" s="44"/>
      <c r="AB408" s="44"/>
      <c r="AC408" s="44"/>
    </row>
    <row r="409" spans="18:29" ht="14.6">
      <c r="R409" s="63"/>
      <c r="S409" s="64"/>
      <c r="T409" s="65"/>
      <c r="U409" s="63"/>
      <c r="V409" s="66"/>
      <c r="W409" s="67"/>
      <c r="X409" s="68"/>
      <c r="Y409" s="44"/>
      <c r="Z409" s="44"/>
      <c r="AA409" s="44"/>
      <c r="AB409" s="44"/>
      <c r="AC409" s="44"/>
    </row>
    <row r="410" spans="18:29" ht="14.6">
      <c r="R410" s="63"/>
      <c r="S410" s="64"/>
      <c r="T410" s="65"/>
      <c r="U410" s="63"/>
      <c r="V410" s="66"/>
      <c r="W410" s="67"/>
      <c r="X410" s="68"/>
      <c r="Y410" s="44"/>
      <c r="Z410" s="44"/>
      <c r="AA410" s="44"/>
      <c r="AB410" s="44"/>
      <c r="AC410" s="44"/>
    </row>
    <row r="411" spans="18:29" ht="14.6">
      <c r="R411" s="63"/>
      <c r="S411" s="64"/>
      <c r="T411" s="65"/>
      <c r="U411" s="63"/>
      <c r="V411" s="66"/>
      <c r="W411" s="67"/>
      <c r="X411" s="68"/>
      <c r="Y411" s="44"/>
      <c r="Z411" s="44"/>
      <c r="AA411" s="44"/>
      <c r="AB411" s="44"/>
      <c r="AC411" s="44"/>
    </row>
    <row r="412" spans="18:29" ht="14.6">
      <c r="R412" s="63"/>
      <c r="S412" s="64"/>
      <c r="T412" s="65"/>
      <c r="U412" s="63"/>
      <c r="V412" s="66"/>
      <c r="W412" s="67"/>
      <c r="X412" s="68"/>
      <c r="Y412" s="44"/>
      <c r="Z412" s="44"/>
      <c r="AA412" s="44"/>
      <c r="AB412" s="44"/>
      <c r="AC412" s="44"/>
    </row>
    <row r="413" spans="18:29" ht="14.6">
      <c r="R413" s="63"/>
      <c r="S413" s="64"/>
      <c r="T413" s="65"/>
      <c r="U413" s="63"/>
      <c r="V413" s="66"/>
      <c r="W413" s="67"/>
      <c r="X413" s="68"/>
      <c r="Y413" s="44"/>
      <c r="Z413" s="44"/>
      <c r="AA413" s="44"/>
      <c r="AB413" s="44"/>
      <c r="AC413" s="44"/>
    </row>
    <row r="414" spans="18:29" ht="14.6">
      <c r="R414" s="63"/>
      <c r="S414" s="64"/>
      <c r="T414" s="65"/>
      <c r="U414" s="63"/>
      <c r="V414" s="66"/>
      <c r="W414" s="67"/>
      <c r="X414" s="68"/>
      <c r="Y414" s="44"/>
      <c r="Z414" s="44"/>
      <c r="AA414" s="44"/>
      <c r="AB414" s="44"/>
      <c r="AC414" s="44"/>
    </row>
    <row r="415" spans="18:29" ht="14.6">
      <c r="R415" s="63"/>
      <c r="S415" s="64"/>
      <c r="T415" s="65"/>
      <c r="U415" s="63"/>
      <c r="V415" s="66"/>
      <c r="W415" s="67"/>
      <c r="X415" s="68"/>
      <c r="Y415" s="44"/>
      <c r="Z415" s="44"/>
      <c r="AA415" s="44"/>
      <c r="AB415" s="44"/>
      <c r="AC415" s="44"/>
    </row>
    <row r="416" spans="18:29" ht="14.6">
      <c r="R416" s="63"/>
      <c r="S416" s="64"/>
      <c r="T416" s="65"/>
      <c r="U416" s="63"/>
      <c r="V416" s="66"/>
      <c r="W416" s="67"/>
      <c r="X416" s="68"/>
      <c r="Y416" s="44"/>
      <c r="Z416" s="44"/>
      <c r="AA416" s="44"/>
      <c r="AB416" s="44"/>
      <c r="AC416" s="44"/>
    </row>
    <row r="417" spans="18:29" ht="14.6">
      <c r="R417" s="63"/>
      <c r="S417" s="64"/>
      <c r="T417" s="65"/>
      <c r="U417" s="63"/>
      <c r="V417" s="66"/>
      <c r="W417" s="67"/>
      <c r="X417" s="68"/>
      <c r="Y417" s="44"/>
      <c r="Z417" s="44"/>
      <c r="AA417" s="44"/>
      <c r="AB417" s="44"/>
      <c r="AC417" s="44"/>
    </row>
    <row r="418" spans="18:29" ht="14.6">
      <c r="R418" s="63"/>
      <c r="S418" s="64"/>
      <c r="T418" s="65"/>
      <c r="U418" s="63"/>
      <c r="V418" s="66"/>
      <c r="W418" s="67"/>
      <c r="X418" s="68"/>
      <c r="Y418" s="44"/>
      <c r="Z418" s="44"/>
      <c r="AA418" s="44"/>
      <c r="AB418" s="44"/>
      <c r="AC418" s="44"/>
    </row>
    <row r="419" spans="18:29" ht="14.6">
      <c r="R419" s="63"/>
      <c r="S419" s="64"/>
      <c r="T419" s="65"/>
      <c r="U419" s="63"/>
      <c r="V419" s="66"/>
      <c r="W419" s="67"/>
      <c r="X419" s="68"/>
      <c r="Y419" s="44"/>
      <c r="Z419" s="44"/>
      <c r="AA419" s="44"/>
      <c r="AB419" s="44"/>
      <c r="AC419" s="44"/>
    </row>
    <row r="420" spans="18:29" ht="14.6">
      <c r="R420" s="63"/>
      <c r="S420" s="64"/>
      <c r="T420" s="65"/>
      <c r="U420" s="63"/>
      <c r="V420" s="66"/>
      <c r="W420" s="67"/>
      <c r="X420" s="68"/>
      <c r="Y420" s="44"/>
      <c r="Z420" s="44"/>
      <c r="AA420" s="44"/>
      <c r="AB420" s="44"/>
      <c r="AC420" s="44"/>
    </row>
    <row r="421" spans="18:29" ht="14.6">
      <c r="R421" s="63"/>
      <c r="S421" s="64"/>
      <c r="T421" s="65"/>
      <c r="U421" s="63"/>
      <c r="V421" s="66"/>
      <c r="W421" s="67"/>
      <c r="X421" s="68"/>
      <c r="Y421" s="44"/>
      <c r="Z421" s="44"/>
      <c r="AA421" s="44"/>
      <c r="AB421" s="44"/>
      <c r="AC421" s="44"/>
    </row>
    <row r="422" spans="18:29" ht="14.6">
      <c r="R422" s="63"/>
      <c r="S422" s="64"/>
      <c r="T422" s="65"/>
      <c r="U422" s="63"/>
      <c r="V422" s="66"/>
      <c r="W422" s="67"/>
      <c r="X422" s="68"/>
      <c r="Y422" s="44"/>
      <c r="Z422" s="44"/>
      <c r="AA422" s="44"/>
      <c r="AB422" s="44"/>
      <c r="AC422" s="44"/>
    </row>
    <row r="423" spans="18:29" ht="14.6">
      <c r="R423" s="63"/>
      <c r="S423" s="64"/>
      <c r="T423" s="65"/>
      <c r="U423" s="63"/>
      <c r="V423" s="66"/>
      <c r="W423" s="67"/>
      <c r="X423" s="68"/>
      <c r="Y423" s="44"/>
      <c r="Z423" s="44"/>
      <c r="AA423" s="44"/>
      <c r="AB423" s="44"/>
      <c r="AC423" s="44"/>
    </row>
    <row r="424" spans="18:29" ht="14.6">
      <c r="R424" s="63"/>
      <c r="S424" s="64"/>
      <c r="T424" s="65"/>
      <c r="U424" s="63"/>
      <c r="V424" s="66"/>
      <c r="W424" s="67"/>
      <c r="X424" s="68"/>
      <c r="Y424" s="44"/>
      <c r="Z424" s="44"/>
      <c r="AA424" s="44"/>
      <c r="AB424" s="44"/>
      <c r="AC424" s="44"/>
    </row>
    <row r="425" spans="18:29" ht="14.6">
      <c r="R425" s="63"/>
      <c r="S425" s="64"/>
      <c r="T425" s="65"/>
      <c r="U425" s="63"/>
      <c r="V425" s="66"/>
      <c r="W425" s="67"/>
      <c r="X425" s="68"/>
      <c r="Y425" s="44"/>
      <c r="Z425" s="44"/>
      <c r="AA425" s="44"/>
      <c r="AB425" s="44"/>
      <c r="AC425" s="44"/>
    </row>
    <row r="426" spans="18:29" ht="14.6">
      <c r="R426" s="63"/>
      <c r="S426" s="64"/>
      <c r="T426" s="65"/>
      <c r="U426" s="63"/>
      <c r="V426" s="66"/>
      <c r="W426" s="67"/>
      <c r="X426" s="68"/>
      <c r="Y426" s="44"/>
      <c r="Z426" s="44"/>
      <c r="AA426" s="44"/>
      <c r="AB426" s="44"/>
      <c r="AC426" s="44"/>
    </row>
    <row r="427" spans="18:29" ht="14.6">
      <c r="R427" s="63"/>
      <c r="S427" s="64"/>
      <c r="T427" s="65"/>
      <c r="U427" s="63"/>
      <c r="V427" s="66"/>
      <c r="W427" s="67"/>
      <c r="X427" s="68"/>
      <c r="Y427" s="44"/>
      <c r="Z427" s="44"/>
      <c r="AA427" s="44"/>
      <c r="AB427" s="44"/>
      <c r="AC427" s="44"/>
    </row>
    <row r="428" spans="18:29" ht="14.6">
      <c r="R428" s="63"/>
      <c r="S428" s="64"/>
      <c r="T428" s="65"/>
      <c r="U428" s="63"/>
      <c r="V428" s="66"/>
      <c r="W428" s="67"/>
      <c r="X428" s="68"/>
      <c r="Y428" s="44"/>
      <c r="Z428" s="44"/>
      <c r="AA428" s="44"/>
      <c r="AB428" s="44"/>
      <c r="AC428" s="44"/>
    </row>
    <row r="429" spans="18:29" ht="14.6">
      <c r="R429" s="63"/>
      <c r="S429" s="64"/>
      <c r="T429" s="65"/>
      <c r="U429" s="63"/>
      <c r="V429" s="66"/>
      <c r="W429" s="67"/>
      <c r="X429" s="68"/>
      <c r="Y429" s="44"/>
      <c r="Z429" s="44"/>
      <c r="AA429" s="44"/>
      <c r="AB429" s="44"/>
      <c r="AC429" s="44"/>
    </row>
    <row r="430" spans="18:29" ht="14.6">
      <c r="R430" s="63"/>
      <c r="S430" s="64"/>
      <c r="T430" s="65"/>
      <c r="U430" s="63"/>
      <c r="V430" s="66"/>
      <c r="W430" s="67"/>
      <c r="X430" s="68"/>
      <c r="Y430" s="44"/>
      <c r="Z430" s="44"/>
      <c r="AA430" s="44"/>
      <c r="AB430" s="44"/>
      <c r="AC430" s="44"/>
    </row>
    <row r="431" spans="18:29" ht="14.6">
      <c r="R431" s="63"/>
      <c r="S431" s="64"/>
      <c r="T431" s="65"/>
      <c r="U431" s="63"/>
      <c r="V431" s="66"/>
      <c r="W431" s="67"/>
      <c r="X431" s="68"/>
      <c r="Y431" s="44"/>
      <c r="Z431" s="44"/>
      <c r="AA431" s="44"/>
      <c r="AB431" s="44"/>
      <c r="AC431" s="44"/>
    </row>
    <row r="432" spans="18:29" ht="14.6">
      <c r="R432" s="63"/>
      <c r="S432" s="64"/>
      <c r="T432" s="65"/>
      <c r="U432" s="63"/>
      <c r="V432" s="66"/>
      <c r="W432" s="67"/>
      <c r="X432" s="68"/>
      <c r="Y432" s="44"/>
      <c r="Z432" s="44"/>
      <c r="AA432" s="44"/>
      <c r="AB432" s="44"/>
      <c r="AC432" s="44"/>
    </row>
    <row r="433" spans="18:29" ht="14.6">
      <c r="R433" s="63"/>
      <c r="S433" s="64"/>
      <c r="T433" s="65"/>
      <c r="U433" s="63"/>
      <c r="V433" s="66"/>
      <c r="W433" s="67"/>
      <c r="X433" s="68"/>
      <c r="Y433" s="44"/>
      <c r="Z433" s="44"/>
      <c r="AA433" s="44"/>
      <c r="AB433" s="44"/>
      <c r="AC433" s="44"/>
    </row>
    <row r="434" spans="18:29" ht="14.6">
      <c r="R434" s="63"/>
      <c r="S434" s="64"/>
      <c r="T434" s="65"/>
      <c r="U434" s="63"/>
      <c r="V434" s="66"/>
      <c r="W434" s="67"/>
      <c r="X434" s="68"/>
      <c r="Y434" s="44"/>
      <c r="Z434" s="44"/>
      <c r="AA434" s="44"/>
      <c r="AB434" s="44"/>
      <c r="AC434" s="44"/>
    </row>
    <row r="435" spans="18:29" ht="14.6">
      <c r="R435" s="63"/>
      <c r="S435" s="64"/>
      <c r="T435" s="65"/>
      <c r="U435" s="63"/>
      <c r="V435" s="66"/>
      <c r="W435" s="67"/>
      <c r="X435" s="68"/>
      <c r="Y435" s="44"/>
      <c r="Z435" s="44"/>
      <c r="AA435" s="44"/>
      <c r="AB435" s="44"/>
      <c r="AC435" s="44"/>
    </row>
    <row r="436" spans="18:29" ht="14.6">
      <c r="R436" s="63"/>
      <c r="S436" s="64"/>
      <c r="T436" s="65"/>
      <c r="U436" s="63"/>
      <c r="V436" s="66"/>
      <c r="W436" s="67"/>
      <c r="X436" s="68"/>
      <c r="Y436" s="44"/>
      <c r="Z436" s="44"/>
      <c r="AA436" s="44"/>
      <c r="AB436" s="44"/>
      <c r="AC436" s="44"/>
    </row>
    <row r="437" spans="18:29" ht="14.6">
      <c r="R437" s="63"/>
      <c r="S437" s="64"/>
      <c r="T437" s="65"/>
      <c r="U437" s="63"/>
      <c r="V437" s="66"/>
      <c r="W437" s="67"/>
      <c r="X437" s="68"/>
      <c r="Y437" s="44"/>
      <c r="Z437" s="44"/>
      <c r="AA437" s="44"/>
      <c r="AB437" s="44"/>
      <c r="AC437" s="44"/>
    </row>
    <row r="438" spans="18:29" ht="14.6">
      <c r="R438" s="63"/>
      <c r="S438" s="64"/>
      <c r="T438" s="65"/>
      <c r="U438" s="63"/>
      <c r="V438" s="66"/>
      <c r="W438" s="67"/>
      <c r="X438" s="68"/>
      <c r="Y438" s="44"/>
      <c r="Z438" s="44"/>
      <c r="AA438" s="44"/>
      <c r="AB438" s="44"/>
      <c r="AC438" s="44"/>
    </row>
    <row r="439" spans="18:29" ht="14.6">
      <c r="R439" s="63"/>
      <c r="S439" s="64"/>
      <c r="T439" s="65"/>
      <c r="U439" s="63"/>
      <c r="V439" s="66"/>
      <c r="W439" s="67"/>
      <c r="X439" s="68"/>
      <c r="Y439" s="44"/>
      <c r="Z439" s="44"/>
      <c r="AA439" s="44"/>
      <c r="AB439" s="44"/>
      <c r="AC439" s="44"/>
    </row>
    <row r="440" spans="18:29" ht="14.6">
      <c r="R440" s="63"/>
      <c r="S440" s="64"/>
      <c r="T440" s="65"/>
      <c r="U440" s="63"/>
      <c r="V440" s="66"/>
      <c r="W440" s="67"/>
      <c r="X440" s="68"/>
      <c r="Y440" s="44"/>
      <c r="Z440" s="44"/>
      <c r="AA440" s="44"/>
      <c r="AB440" s="44"/>
      <c r="AC440" s="44"/>
    </row>
    <row r="441" spans="18:29" ht="14.6">
      <c r="R441" s="63"/>
      <c r="S441" s="64"/>
      <c r="T441" s="65"/>
      <c r="U441" s="63"/>
      <c r="V441" s="66"/>
      <c r="W441" s="67"/>
      <c r="X441" s="68"/>
      <c r="Y441" s="44"/>
      <c r="Z441" s="44"/>
      <c r="AA441" s="44"/>
      <c r="AB441" s="44"/>
      <c r="AC441" s="44"/>
    </row>
    <row r="442" spans="18:29" ht="14.6">
      <c r="R442" s="63"/>
      <c r="S442" s="64"/>
      <c r="T442" s="65"/>
      <c r="U442" s="63"/>
      <c r="V442" s="66"/>
      <c r="W442" s="67"/>
      <c r="X442" s="68"/>
      <c r="Y442" s="44"/>
      <c r="Z442" s="44"/>
      <c r="AA442" s="44"/>
      <c r="AB442" s="44"/>
      <c r="AC442" s="44"/>
    </row>
    <row r="443" spans="18:29" ht="14.6">
      <c r="R443" s="63"/>
      <c r="S443" s="64"/>
      <c r="T443" s="65"/>
      <c r="U443" s="63"/>
      <c r="V443" s="66"/>
      <c r="W443" s="67"/>
      <c r="X443" s="68"/>
      <c r="Y443" s="44"/>
      <c r="Z443" s="44"/>
      <c r="AA443" s="44"/>
      <c r="AB443" s="44"/>
      <c r="AC443" s="44"/>
    </row>
    <row r="444" spans="18:29" ht="14.6">
      <c r="R444" s="63"/>
      <c r="S444" s="64"/>
      <c r="T444" s="65"/>
      <c r="U444" s="63"/>
      <c r="V444" s="66"/>
      <c r="W444" s="67"/>
      <c r="X444" s="68"/>
      <c r="Y444" s="44"/>
      <c r="Z444" s="44"/>
      <c r="AA444" s="44"/>
      <c r="AB444" s="44"/>
      <c r="AC444" s="44"/>
    </row>
    <row r="445" spans="18:29" ht="14.6">
      <c r="R445" s="63"/>
      <c r="S445" s="64"/>
      <c r="T445" s="65"/>
      <c r="U445" s="63"/>
      <c r="V445" s="66"/>
      <c r="W445" s="67"/>
      <c r="X445" s="68"/>
      <c r="Y445" s="44"/>
      <c r="Z445" s="44"/>
      <c r="AA445" s="44"/>
      <c r="AB445" s="44"/>
      <c r="AC445" s="44"/>
    </row>
    <row r="446" spans="18:29" ht="14.6">
      <c r="R446" s="63"/>
      <c r="S446" s="64"/>
      <c r="T446" s="65"/>
      <c r="U446" s="63"/>
      <c r="V446" s="66"/>
      <c r="W446" s="67"/>
      <c r="X446" s="68"/>
      <c r="Y446" s="44"/>
      <c r="Z446" s="44"/>
      <c r="AA446" s="44"/>
      <c r="AB446" s="44"/>
      <c r="AC446" s="44"/>
    </row>
    <row r="447" spans="18:29" ht="14.6">
      <c r="R447" s="63"/>
      <c r="S447" s="64"/>
      <c r="T447" s="65"/>
      <c r="U447" s="63"/>
      <c r="V447" s="66"/>
      <c r="W447" s="67"/>
      <c r="X447" s="68"/>
      <c r="Y447" s="44"/>
      <c r="Z447" s="44"/>
      <c r="AA447" s="44"/>
      <c r="AB447" s="44"/>
      <c r="AC447" s="44"/>
    </row>
    <row r="448" spans="18:29" ht="14.6">
      <c r="R448" s="63"/>
      <c r="S448" s="64"/>
      <c r="T448" s="65"/>
      <c r="U448" s="63"/>
      <c r="V448" s="66"/>
      <c r="W448" s="67"/>
      <c r="X448" s="68"/>
      <c r="Y448" s="44"/>
      <c r="Z448" s="44"/>
      <c r="AA448" s="44"/>
      <c r="AB448" s="44"/>
      <c r="AC448" s="44"/>
    </row>
    <row r="449" spans="18:29" ht="14.6">
      <c r="R449" s="63"/>
      <c r="S449" s="64"/>
      <c r="T449" s="65"/>
      <c r="U449" s="63"/>
      <c r="V449" s="66"/>
      <c r="W449" s="67"/>
      <c r="X449" s="68"/>
      <c r="Y449" s="44"/>
      <c r="Z449" s="44"/>
      <c r="AA449" s="44"/>
      <c r="AB449" s="44"/>
      <c r="AC449" s="44"/>
    </row>
    <row r="450" spans="18:29" ht="14.6">
      <c r="R450" s="63"/>
      <c r="S450" s="64"/>
      <c r="T450" s="65"/>
      <c r="U450" s="63"/>
      <c r="V450" s="66"/>
      <c r="W450" s="67"/>
      <c r="X450" s="68"/>
      <c r="Y450" s="44"/>
      <c r="Z450" s="44"/>
      <c r="AA450" s="44"/>
      <c r="AB450" s="44"/>
      <c r="AC450" s="44"/>
    </row>
    <row r="451" spans="18:29" ht="14.6">
      <c r="R451" s="63"/>
      <c r="S451" s="64"/>
      <c r="T451" s="65"/>
      <c r="U451" s="63"/>
      <c r="V451" s="66"/>
      <c r="W451" s="67"/>
      <c r="X451" s="68"/>
      <c r="Y451" s="44"/>
      <c r="Z451" s="44"/>
      <c r="AA451" s="44"/>
      <c r="AB451" s="44"/>
      <c r="AC451" s="44"/>
    </row>
    <row r="452" spans="18:29" ht="14.6">
      <c r="R452" s="63"/>
      <c r="S452" s="64"/>
      <c r="T452" s="65"/>
      <c r="U452" s="63"/>
      <c r="V452" s="66"/>
      <c r="W452" s="67"/>
      <c r="X452" s="68"/>
      <c r="Y452" s="44"/>
      <c r="Z452" s="44"/>
      <c r="AA452" s="44"/>
      <c r="AB452" s="44"/>
      <c r="AC452" s="44"/>
    </row>
    <row r="453" spans="18:29" ht="14.6">
      <c r="R453" s="63"/>
      <c r="S453" s="64"/>
      <c r="T453" s="65"/>
      <c r="U453" s="63"/>
      <c r="V453" s="66"/>
      <c r="W453" s="67"/>
      <c r="X453" s="68"/>
      <c r="Y453" s="44"/>
      <c r="Z453" s="44"/>
      <c r="AA453" s="44"/>
      <c r="AB453" s="44"/>
      <c r="AC453" s="44"/>
    </row>
    <row r="454" spans="18:29" ht="14.6">
      <c r="R454" s="63"/>
      <c r="S454" s="64"/>
      <c r="T454" s="65"/>
      <c r="U454" s="63"/>
      <c r="V454" s="66"/>
      <c r="W454" s="67"/>
      <c r="X454" s="68"/>
      <c r="Y454" s="44"/>
      <c r="Z454" s="44"/>
      <c r="AA454" s="44"/>
      <c r="AB454" s="44"/>
      <c r="AC454" s="44"/>
    </row>
    <row r="455" spans="18:29" ht="14.6">
      <c r="R455" s="63"/>
      <c r="S455" s="64"/>
      <c r="T455" s="65"/>
      <c r="U455" s="63"/>
      <c r="V455" s="66"/>
      <c r="W455" s="67"/>
      <c r="X455" s="68"/>
      <c r="Y455" s="44"/>
      <c r="Z455" s="44"/>
      <c r="AA455" s="44"/>
      <c r="AB455" s="44"/>
      <c r="AC455" s="44"/>
    </row>
    <row r="456" spans="18:29" ht="14.6">
      <c r="R456" s="63"/>
      <c r="S456" s="64"/>
      <c r="T456" s="65"/>
      <c r="U456" s="63"/>
      <c r="V456" s="66"/>
      <c r="W456" s="67"/>
      <c r="X456" s="68"/>
      <c r="Y456" s="44"/>
      <c r="Z456" s="44"/>
      <c r="AA456" s="44"/>
      <c r="AB456" s="44"/>
      <c r="AC456" s="44"/>
    </row>
    <row r="457" spans="18:29" ht="14.6">
      <c r="R457" s="63"/>
      <c r="S457" s="64"/>
      <c r="T457" s="65"/>
      <c r="U457" s="63"/>
      <c r="V457" s="66"/>
      <c r="W457" s="67"/>
      <c r="X457" s="68"/>
      <c r="Y457" s="44"/>
      <c r="Z457" s="44"/>
      <c r="AA457" s="44"/>
      <c r="AB457" s="44"/>
      <c r="AC457" s="44"/>
    </row>
    <row r="458" spans="18:29" ht="14.6">
      <c r="R458" s="63"/>
      <c r="S458" s="64"/>
      <c r="T458" s="65"/>
      <c r="U458" s="63"/>
      <c r="V458" s="66"/>
      <c r="W458" s="67"/>
      <c r="X458" s="68"/>
      <c r="Y458" s="44"/>
      <c r="Z458" s="44"/>
      <c r="AA458" s="44"/>
      <c r="AB458" s="44"/>
      <c r="AC458" s="44"/>
    </row>
    <row r="459" spans="18:29" ht="14.6">
      <c r="R459" s="63"/>
      <c r="S459" s="64"/>
      <c r="T459" s="65"/>
      <c r="U459" s="63"/>
      <c r="V459" s="66"/>
      <c r="W459" s="67"/>
      <c r="X459" s="68"/>
      <c r="Y459" s="44"/>
      <c r="Z459" s="44"/>
      <c r="AA459" s="44"/>
      <c r="AB459" s="44"/>
      <c r="AC459" s="44"/>
    </row>
    <row r="460" spans="18:29" ht="14.6">
      <c r="R460" s="63"/>
      <c r="S460" s="64"/>
      <c r="T460" s="65"/>
      <c r="U460" s="63"/>
      <c r="V460" s="66"/>
      <c r="W460" s="67"/>
      <c r="X460" s="68"/>
      <c r="Y460" s="44"/>
      <c r="Z460" s="44"/>
      <c r="AA460" s="44"/>
      <c r="AB460" s="44"/>
      <c r="AC460" s="44"/>
    </row>
    <row r="461" spans="18:29" ht="14.6">
      <c r="R461" s="63"/>
      <c r="S461" s="64"/>
      <c r="T461" s="65"/>
      <c r="U461" s="63"/>
      <c r="V461" s="66"/>
      <c r="W461" s="67"/>
      <c r="X461" s="68"/>
      <c r="Y461" s="44"/>
      <c r="Z461" s="44"/>
      <c r="AA461" s="44"/>
      <c r="AB461" s="44"/>
      <c r="AC461" s="44"/>
    </row>
    <row r="462" spans="18:29" ht="14.6">
      <c r="R462" s="63"/>
      <c r="S462" s="64"/>
      <c r="T462" s="65"/>
      <c r="U462" s="63"/>
      <c r="V462" s="66"/>
      <c r="W462" s="67"/>
      <c r="X462" s="68"/>
      <c r="Y462" s="44"/>
      <c r="Z462" s="44"/>
      <c r="AA462" s="44"/>
      <c r="AB462" s="44"/>
      <c r="AC462" s="44"/>
    </row>
    <row r="463" spans="18:29" ht="14.6">
      <c r="R463" s="63"/>
      <c r="S463" s="64"/>
      <c r="T463" s="65"/>
      <c r="U463" s="63"/>
      <c r="V463" s="66"/>
      <c r="W463" s="67"/>
      <c r="X463" s="68"/>
      <c r="Y463" s="44"/>
      <c r="Z463" s="44"/>
      <c r="AA463" s="44"/>
      <c r="AB463" s="44"/>
      <c r="AC463" s="44"/>
    </row>
    <row r="464" spans="18:29" ht="14.6">
      <c r="R464" s="63"/>
      <c r="S464" s="64"/>
      <c r="T464" s="65"/>
      <c r="U464" s="63"/>
      <c r="V464" s="66"/>
      <c r="W464" s="67"/>
      <c r="X464" s="68"/>
      <c r="Y464" s="44"/>
      <c r="Z464" s="44"/>
      <c r="AA464" s="44"/>
      <c r="AB464" s="44"/>
      <c r="AC464" s="44"/>
    </row>
    <row r="465" spans="18:29" ht="14.6">
      <c r="R465" s="63"/>
      <c r="S465" s="64"/>
      <c r="T465" s="65"/>
      <c r="U465" s="63"/>
      <c r="V465" s="66"/>
      <c r="W465" s="67"/>
      <c r="X465" s="68"/>
      <c r="Y465" s="44"/>
      <c r="Z465" s="44"/>
      <c r="AA465" s="44"/>
      <c r="AB465" s="44"/>
      <c r="AC465" s="44"/>
    </row>
    <row r="466" spans="18:29" ht="14.6">
      <c r="R466" s="63"/>
      <c r="S466" s="64"/>
      <c r="T466" s="65"/>
      <c r="U466" s="63"/>
      <c r="V466" s="66"/>
      <c r="W466" s="67"/>
      <c r="X466" s="68"/>
      <c r="Y466" s="44"/>
      <c r="Z466" s="44"/>
      <c r="AA466" s="44"/>
      <c r="AB466" s="44"/>
      <c r="AC466" s="44"/>
    </row>
    <row r="467" spans="18:29" ht="14.6">
      <c r="R467" s="63"/>
      <c r="S467" s="64"/>
      <c r="T467" s="65"/>
      <c r="U467" s="63"/>
      <c r="V467" s="66"/>
      <c r="W467" s="67"/>
      <c r="X467" s="68"/>
      <c r="Y467" s="44"/>
      <c r="Z467" s="44"/>
      <c r="AA467" s="44"/>
      <c r="AB467" s="44"/>
      <c r="AC467" s="44"/>
    </row>
    <row r="468" spans="18:29" ht="14.6">
      <c r="R468" s="63"/>
      <c r="S468" s="64"/>
      <c r="T468" s="65"/>
      <c r="U468" s="63"/>
      <c r="V468" s="66"/>
      <c r="W468" s="67"/>
      <c r="X468" s="68"/>
      <c r="Y468" s="44"/>
      <c r="Z468" s="44"/>
      <c r="AA468" s="44"/>
      <c r="AB468" s="44"/>
      <c r="AC468" s="44"/>
    </row>
    <row r="469" spans="18:29" ht="14.6">
      <c r="R469" s="63"/>
      <c r="S469" s="64"/>
      <c r="T469" s="65"/>
      <c r="U469" s="63"/>
      <c r="V469" s="66"/>
      <c r="W469" s="67"/>
      <c r="X469" s="68"/>
      <c r="Y469" s="44"/>
      <c r="Z469" s="44"/>
      <c r="AA469" s="44"/>
      <c r="AB469" s="44"/>
      <c r="AC469" s="44"/>
    </row>
    <row r="470" spans="18:29" ht="14.6">
      <c r="R470" s="63"/>
      <c r="S470" s="64"/>
      <c r="T470" s="65"/>
      <c r="U470" s="63"/>
      <c r="V470" s="66"/>
      <c r="W470" s="67"/>
      <c r="X470" s="68"/>
      <c r="Y470" s="44"/>
      <c r="Z470" s="44"/>
      <c r="AA470" s="44"/>
      <c r="AB470" s="44"/>
      <c r="AC470" s="44"/>
    </row>
    <row r="471" spans="18:29" ht="14.6">
      <c r="R471" s="63"/>
      <c r="S471" s="64"/>
      <c r="T471" s="65"/>
      <c r="U471" s="63"/>
      <c r="V471" s="66"/>
      <c r="W471" s="67"/>
      <c r="X471" s="68"/>
      <c r="Y471" s="44"/>
      <c r="Z471" s="44"/>
      <c r="AA471" s="44"/>
      <c r="AB471" s="44"/>
      <c r="AC471" s="44"/>
    </row>
    <row r="472" spans="18:29" ht="14.6">
      <c r="R472" s="63"/>
      <c r="S472" s="64"/>
      <c r="T472" s="65"/>
      <c r="U472" s="63"/>
      <c r="V472" s="66"/>
      <c r="W472" s="67"/>
      <c r="X472" s="68"/>
      <c r="Y472" s="44"/>
      <c r="Z472" s="44"/>
      <c r="AA472" s="44"/>
      <c r="AB472" s="44"/>
      <c r="AC472" s="44"/>
    </row>
    <row r="473" spans="18:29" ht="14.6">
      <c r="R473" s="63"/>
      <c r="S473" s="64"/>
      <c r="T473" s="65"/>
      <c r="U473" s="63"/>
      <c r="V473" s="66"/>
      <c r="W473" s="67"/>
      <c r="X473" s="68"/>
      <c r="Y473" s="44"/>
      <c r="Z473" s="44"/>
      <c r="AA473" s="44"/>
      <c r="AB473" s="44"/>
      <c r="AC473" s="44"/>
    </row>
    <row r="474" spans="18:29" ht="14.6">
      <c r="R474" s="63"/>
      <c r="S474" s="64"/>
      <c r="T474" s="65"/>
      <c r="U474" s="63"/>
      <c r="V474" s="66"/>
      <c r="W474" s="67"/>
      <c r="X474" s="68"/>
      <c r="Y474" s="44"/>
      <c r="Z474" s="44"/>
      <c r="AA474" s="44"/>
      <c r="AB474" s="44"/>
      <c r="AC474" s="44"/>
    </row>
    <row r="475" spans="18:29" ht="14.6">
      <c r="R475" s="63"/>
      <c r="S475" s="64"/>
      <c r="T475" s="65"/>
      <c r="U475" s="63"/>
      <c r="V475" s="66"/>
      <c r="W475" s="67"/>
      <c r="X475" s="68"/>
      <c r="Y475" s="44"/>
      <c r="Z475" s="44"/>
      <c r="AA475" s="44"/>
      <c r="AB475" s="44"/>
      <c r="AC475" s="44"/>
    </row>
    <row r="476" spans="18:29" ht="14.6">
      <c r="R476" s="63"/>
      <c r="S476" s="64"/>
      <c r="T476" s="65"/>
      <c r="U476" s="63"/>
      <c r="V476" s="66"/>
      <c r="W476" s="67"/>
      <c r="X476" s="68"/>
      <c r="Y476" s="44"/>
      <c r="Z476" s="44"/>
      <c r="AA476" s="44"/>
      <c r="AB476" s="44"/>
      <c r="AC476" s="44"/>
    </row>
    <row r="477" spans="18:29" ht="14.6">
      <c r="R477" s="63"/>
      <c r="S477" s="64"/>
      <c r="T477" s="65"/>
      <c r="U477" s="63"/>
      <c r="V477" s="66"/>
      <c r="W477" s="67"/>
      <c r="X477" s="68"/>
      <c r="Y477" s="44"/>
      <c r="Z477" s="44"/>
      <c r="AA477" s="44"/>
      <c r="AB477" s="44"/>
      <c r="AC477" s="44"/>
    </row>
    <row r="478" spans="18:29" ht="14.6">
      <c r="R478" s="63"/>
      <c r="S478" s="64"/>
      <c r="T478" s="65"/>
      <c r="U478" s="63"/>
      <c r="V478" s="66"/>
      <c r="W478" s="67"/>
      <c r="X478" s="68"/>
      <c r="Y478" s="44"/>
      <c r="Z478" s="44"/>
      <c r="AA478" s="44"/>
      <c r="AB478" s="44"/>
      <c r="AC478" s="44"/>
    </row>
    <row r="479" spans="18:29" ht="14.6">
      <c r="R479" s="63"/>
      <c r="S479" s="64"/>
      <c r="T479" s="65"/>
      <c r="U479" s="63"/>
      <c r="V479" s="66"/>
      <c r="W479" s="67"/>
      <c r="X479" s="68"/>
      <c r="Y479" s="44"/>
      <c r="Z479" s="44"/>
      <c r="AA479" s="44"/>
      <c r="AB479" s="44"/>
      <c r="AC479" s="44"/>
    </row>
    <row r="480" spans="18:29" ht="14.6">
      <c r="R480" s="63"/>
      <c r="S480" s="64"/>
      <c r="T480" s="65"/>
      <c r="U480" s="63"/>
      <c r="V480" s="66"/>
      <c r="W480" s="67"/>
      <c r="X480" s="68"/>
      <c r="Y480" s="44"/>
      <c r="Z480" s="44"/>
      <c r="AA480" s="44"/>
      <c r="AB480" s="44"/>
      <c r="AC480" s="44"/>
    </row>
    <row r="481" spans="18:29" ht="14.6">
      <c r="R481" s="63"/>
      <c r="S481" s="64"/>
      <c r="T481" s="65"/>
      <c r="U481" s="63"/>
      <c r="V481" s="66"/>
      <c r="W481" s="67"/>
      <c r="X481" s="68"/>
      <c r="Y481" s="44"/>
      <c r="Z481" s="44"/>
      <c r="AA481" s="44"/>
      <c r="AB481" s="44"/>
      <c r="AC481" s="44"/>
    </row>
    <row r="482" spans="18:29" ht="14.6">
      <c r="R482" s="63"/>
      <c r="S482" s="64"/>
      <c r="T482" s="65"/>
      <c r="U482" s="63"/>
      <c r="V482" s="66"/>
      <c r="W482" s="67"/>
      <c r="X482" s="68"/>
      <c r="Y482" s="44"/>
      <c r="Z482" s="44"/>
      <c r="AA482" s="44"/>
      <c r="AB482" s="44"/>
      <c r="AC482" s="44"/>
    </row>
    <row r="483" spans="18:29" ht="14.6">
      <c r="R483" s="63"/>
      <c r="S483" s="64"/>
      <c r="T483" s="65"/>
      <c r="U483" s="63"/>
      <c r="V483" s="66"/>
      <c r="W483" s="67"/>
      <c r="X483" s="68"/>
      <c r="Y483" s="44"/>
      <c r="Z483" s="44"/>
      <c r="AA483" s="44"/>
      <c r="AB483" s="44"/>
      <c r="AC483" s="44"/>
    </row>
    <row r="484" spans="18:29" ht="14.6">
      <c r="R484" s="63"/>
      <c r="S484" s="64"/>
      <c r="T484" s="65"/>
      <c r="U484" s="63"/>
      <c r="V484" s="66"/>
      <c r="W484" s="67"/>
      <c r="X484" s="68"/>
      <c r="Y484" s="44"/>
      <c r="Z484" s="44"/>
      <c r="AA484" s="44"/>
      <c r="AB484" s="44"/>
      <c r="AC484" s="44"/>
    </row>
    <row r="485" spans="18:29" ht="14.6">
      <c r="R485" s="63"/>
      <c r="S485" s="64"/>
      <c r="T485" s="65"/>
      <c r="U485" s="63"/>
      <c r="V485" s="66"/>
      <c r="W485" s="67"/>
      <c r="X485" s="68"/>
      <c r="Y485" s="44"/>
      <c r="Z485" s="44"/>
      <c r="AA485" s="44"/>
      <c r="AB485" s="44"/>
      <c r="AC485" s="44"/>
    </row>
    <row r="486" spans="18:29" ht="14.6">
      <c r="R486" s="63"/>
      <c r="S486" s="64"/>
      <c r="T486" s="65"/>
      <c r="U486" s="63"/>
      <c r="V486" s="66"/>
      <c r="W486" s="67"/>
      <c r="X486" s="68"/>
      <c r="Y486" s="44"/>
      <c r="Z486" s="44"/>
      <c r="AA486" s="44"/>
      <c r="AB486" s="44"/>
      <c r="AC486" s="44"/>
    </row>
    <row r="487" spans="18:29" ht="14.6">
      <c r="R487" s="63"/>
      <c r="S487" s="64"/>
      <c r="T487" s="65"/>
      <c r="U487" s="63"/>
      <c r="V487" s="66"/>
      <c r="W487" s="67"/>
      <c r="X487" s="68"/>
      <c r="Y487" s="44"/>
      <c r="Z487" s="44"/>
      <c r="AA487" s="44"/>
      <c r="AB487" s="44"/>
      <c r="AC487" s="44"/>
    </row>
    <row r="488" spans="18:29" ht="14.6">
      <c r="R488" s="63"/>
      <c r="S488" s="64"/>
      <c r="T488" s="65"/>
      <c r="U488" s="63"/>
      <c r="V488" s="66"/>
      <c r="W488" s="67"/>
      <c r="X488" s="68"/>
      <c r="Y488" s="44"/>
      <c r="Z488" s="44"/>
      <c r="AA488" s="44"/>
      <c r="AB488" s="44"/>
      <c r="AC488" s="44"/>
    </row>
    <row r="489" spans="18:29" ht="14.6">
      <c r="R489" s="63"/>
      <c r="S489" s="64"/>
      <c r="T489" s="65"/>
      <c r="U489" s="63"/>
      <c r="V489" s="66"/>
      <c r="W489" s="67"/>
      <c r="X489" s="68"/>
      <c r="Y489" s="44"/>
      <c r="Z489" s="44"/>
      <c r="AA489" s="44"/>
      <c r="AB489" s="44"/>
      <c r="AC489" s="44"/>
    </row>
    <row r="490" spans="18:29" ht="14.6">
      <c r="R490" s="63"/>
      <c r="S490" s="64"/>
      <c r="T490" s="65"/>
      <c r="U490" s="63"/>
      <c r="V490" s="66"/>
      <c r="W490" s="67"/>
      <c r="X490" s="68"/>
      <c r="Y490" s="44"/>
      <c r="Z490" s="44"/>
      <c r="AA490" s="44"/>
      <c r="AB490" s="44"/>
      <c r="AC490" s="44"/>
    </row>
    <row r="491" spans="18:29" ht="14.6">
      <c r="R491" s="63"/>
      <c r="S491" s="64"/>
      <c r="T491" s="65"/>
      <c r="U491" s="63"/>
      <c r="V491" s="66"/>
      <c r="W491" s="67"/>
      <c r="X491" s="68"/>
      <c r="Y491" s="44"/>
      <c r="Z491" s="44"/>
      <c r="AA491" s="44"/>
      <c r="AB491" s="44"/>
      <c r="AC491" s="44"/>
    </row>
    <row r="492" spans="18:29" ht="14.6">
      <c r="R492" s="63"/>
      <c r="S492" s="64"/>
      <c r="T492" s="65"/>
      <c r="U492" s="63"/>
      <c r="V492" s="66"/>
      <c r="W492" s="67"/>
      <c r="X492" s="68"/>
      <c r="Y492" s="44"/>
      <c r="Z492" s="44"/>
      <c r="AA492" s="44"/>
      <c r="AB492" s="44"/>
      <c r="AC492" s="44"/>
    </row>
    <row r="493" spans="18:29" ht="14.6">
      <c r="R493" s="63"/>
      <c r="S493" s="64"/>
      <c r="T493" s="65"/>
      <c r="U493" s="63"/>
      <c r="V493" s="66"/>
      <c r="W493" s="67"/>
      <c r="X493" s="68"/>
      <c r="Y493" s="44"/>
      <c r="Z493" s="44"/>
      <c r="AA493" s="44"/>
      <c r="AB493" s="44"/>
      <c r="AC493" s="44"/>
    </row>
    <row r="494" spans="18:29" ht="14.6">
      <c r="R494" s="63"/>
      <c r="S494" s="64"/>
      <c r="T494" s="65"/>
      <c r="U494" s="63"/>
      <c r="V494" s="66"/>
      <c r="W494" s="67"/>
      <c r="X494" s="68"/>
      <c r="Y494" s="44"/>
      <c r="Z494" s="44"/>
      <c r="AA494" s="44"/>
      <c r="AB494" s="44"/>
      <c r="AC494" s="44"/>
    </row>
    <row r="495" spans="18:29" ht="14.6">
      <c r="R495" s="63"/>
      <c r="S495" s="64"/>
      <c r="T495" s="65"/>
      <c r="U495" s="63"/>
      <c r="V495" s="66"/>
      <c r="W495" s="67"/>
      <c r="X495" s="68"/>
      <c r="Y495" s="44"/>
      <c r="Z495" s="44"/>
      <c r="AA495" s="44"/>
      <c r="AB495" s="44"/>
      <c r="AC495" s="44"/>
    </row>
    <row r="496" spans="18:29" ht="14.6">
      <c r="R496" s="63"/>
      <c r="S496" s="64"/>
      <c r="T496" s="65"/>
      <c r="U496" s="63"/>
      <c r="V496" s="66"/>
      <c r="W496" s="67"/>
      <c r="X496" s="68"/>
      <c r="Y496" s="44"/>
      <c r="Z496" s="44"/>
      <c r="AA496" s="44"/>
      <c r="AB496" s="44"/>
      <c r="AC496" s="44"/>
    </row>
    <row r="497" spans="18:29" ht="14.6">
      <c r="R497" s="63"/>
      <c r="S497" s="64"/>
      <c r="T497" s="65"/>
      <c r="U497" s="63"/>
      <c r="V497" s="66"/>
      <c r="W497" s="67"/>
      <c r="X497" s="68"/>
      <c r="Y497" s="44"/>
      <c r="Z497" s="44"/>
      <c r="AA497" s="44"/>
      <c r="AB497" s="44"/>
      <c r="AC497" s="44"/>
    </row>
    <row r="498" spans="18:29" ht="14.6">
      <c r="R498" s="63"/>
      <c r="S498" s="64"/>
      <c r="T498" s="65"/>
      <c r="U498" s="63"/>
      <c r="V498" s="66"/>
      <c r="W498" s="67"/>
      <c r="X498" s="68"/>
      <c r="Y498" s="44"/>
      <c r="Z498" s="44"/>
      <c r="AA498" s="44"/>
      <c r="AB498" s="44"/>
      <c r="AC498" s="44"/>
    </row>
    <row r="499" spans="18:29" ht="14.6">
      <c r="R499" s="63"/>
      <c r="S499" s="64"/>
      <c r="T499" s="65"/>
      <c r="U499" s="63"/>
      <c r="V499" s="66"/>
      <c r="W499" s="67"/>
      <c r="X499" s="68"/>
      <c r="Y499" s="44"/>
      <c r="Z499" s="44"/>
      <c r="AA499" s="44"/>
      <c r="AB499" s="44"/>
      <c r="AC499" s="44"/>
    </row>
    <row r="500" spans="18:29" ht="14.6">
      <c r="R500" s="63"/>
      <c r="S500" s="64"/>
      <c r="T500" s="65"/>
      <c r="U500" s="63"/>
      <c r="V500" s="66"/>
      <c r="W500" s="67"/>
      <c r="X500" s="68"/>
      <c r="Y500" s="44"/>
      <c r="Z500" s="44"/>
      <c r="AA500" s="44"/>
      <c r="AB500" s="44"/>
      <c r="AC500" s="44"/>
    </row>
    <row r="501" spans="18:29" ht="14.6">
      <c r="R501" s="63"/>
      <c r="S501" s="64"/>
      <c r="T501" s="65"/>
      <c r="U501" s="63"/>
      <c r="V501" s="66"/>
      <c r="W501" s="67"/>
      <c r="X501" s="68"/>
      <c r="Y501" s="44"/>
      <c r="Z501" s="44"/>
      <c r="AA501" s="44"/>
      <c r="AB501" s="44"/>
      <c r="AC501" s="44"/>
    </row>
    <row r="502" spans="18:29" ht="14.6">
      <c r="R502" s="63"/>
      <c r="S502" s="64"/>
      <c r="T502" s="65"/>
      <c r="U502" s="63"/>
      <c r="V502" s="66"/>
      <c r="W502" s="67"/>
      <c r="X502" s="68"/>
      <c r="Y502" s="44"/>
      <c r="Z502" s="44"/>
      <c r="AA502" s="44"/>
      <c r="AB502" s="44"/>
      <c r="AC502" s="44"/>
    </row>
    <row r="503" spans="18:29" ht="14.6">
      <c r="R503" s="63"/>
      <c r="S503" s="64"/>
      <c r="T503" s="65"/>
      <c r="U503" s="63"/>
      <c r="V503" s="66"/>
      <c r="W503" s="67"/>
      <c r="X503" s="68"/>
      <c r="Y503" s="44"/>
      <c r="Z503" s="44"/>
      <c r="AA503" s="44"/>
      <c r="AB503" s="44"/>
      <c r="AC503" s="44"/>
    </row>
    <row r="504" spans="18:29" ht="14.6">
      <c r="R504" s="63"/>
      <c r="S504" s="64"/>
      <c r="T504" s="65"/>
      <c r="U504" s="63"/>
      <c r="V504" s="66"/>
      <c r="W504" s="67"/>
      <c r="X504" s="68"/>
      <c r="Y504" s="44"/>
      <c r="Z504" s="44"/>
      <c r="AA504" s="44"/>
      <c r="AB504" s="44"/>
      <c r="AC504" s="44"/>
    </row>
    <row r="505" spans="18:29" ht="14.6">
      <c r="R505" s="63"/>
      <c r="S505" s="64"/>
      <c r="T505" s="65"/>
      <c r="U505" s="63"/>
      <c r="V505" s="66"/>
      <c r="W505" s="67"/>
      <c r="X505" s="68"/>
      <c r="Y505" s="44"/>
      <c r="Z505" s="44"/>
      <c r="AA505" s="44"/>
      <c r="AB505" s="44"/>
      <c r="AC505" s="44"/>
    </row>
    <row r="506" spans="18:29" ht="14.6">
      <c r="R506" s="63"/>
      <c r="S506" s="64"/>
      <c r="T506" s="65"/>
      <c r="U506" s="63"/>
      <c r="V506" s="66"/>
      <c r="W506" s="67"/>
      <c r="X506" s="68"/>
      <c r="Y506" s="44"/>
      <c r="Z506" s="44"/>
      <c r="AA506" s="44"/>
      <c r="AB506" s="44"/>
      <c r="AC506" s="44"/>
    </row>
    <row r="507" spans="18:29" ht="14.6">
      <c r="R507" s="63"/>
      <c r="S507" s="64"/>
      <c r="T507" s="65"/>
      <c r="U507" s="63"/>
      <c r="V507" s="66"/>
      <c r="W507" s="67"/>
      <c r="X507" s="68"/>
      <c r="Y507" s="44"/>
      <c r="Z507" s="44"/>
      <c r="AA507" s="44"/>
      <c r="AB507" s="44"/>
      <c r="AC507" s="44"/>
    </row>
    <row r="508" spans="18:29" ht="14.6">
      <c r="R508" s="63"/>
      <c r="S508" s="64"/>
      <c r="T508" s="65"/>
      <c r="U508" s="63"/>
      <c r="V508" s="66"/>
      <c r="W508" s="67"/>
      <c r="X508" s="68"/>
      <c r="Y508" s="44"/>
      <c r="Z508" s="44"/>
      <c r="AA508" s="44"/>
      <c r="AB508" s="44"/>
      <c r="AC508" s="44"/>
    </row>
    <row r="509" spans="18:29" ht="14.6">
      <c r="R509" s="63"/>
      <c r="S509" s="64"/>
      <c r="T509" s="65"/>
      <c r="U509" s="63"/>
      <c r="V509" s="66"/>
      <c r="W509" s="67"/>
      <c r="X509" s="68"/>
      <c r="Y509" s="44"/>
      <c r="Z509" s="44"/>
      <c r="AA509" s="44"/>
      <c r="AB509" s="44"/>
      <c r="AC509" s="44"/>
    </row>
    <row r="510" spans="18:29" ht="14.6">
      <c r="R510" s="63"/>
      <c r="S510" s="64"/>
      <c r="T510" s="65"/>
      <c r="U510" s="63"/>
      <c r="V510" s="66"/>
      <c r="W510" s="67"/>
      <c r="X510" s="68"/>
      <c r="Y510" s="44"/>
      <c r="Z510" s="44"/>
      <c r="AA510" s="44"/>
      <c r="AB510" s="44"/>
      <c r="AC510" s="44"/>
    </row>
    <row r="511" spans="18:29" ht="14.6">
      <c r="R511" s="63"/>
      <c r="S511" s="64"/>
      <c r="T511" s="65"/>
      <c r="U511" s="63"/>
      <c r="V511" s="66"/>
      <c r="W511" s="67"/>
      <c r="X511" s="68"/>
      <c r="Y511" s="44"/>
      <c r="Z511" s="44"/>
      <c r="AA511" s="44"/>
      <c r="AB511" s="44"/>
      <c r="AC511" s="44"/>
    </row>
    <row r="512" spans="18:29" ht="14.6">
      <c r="R512" s="63"/>
      <c r="S512" s="64"/>
      <c r="T512" s="65"/>
      <c r="U512" s="63"/>
      <c r="V512" s="66"/>
      <c r="W512" s="67"/>
      <c r="X512" s="68"/>
      <c r="Y512" s="44"/>
      <c r="Z512" s="44"/>
      <c r="AA512" s="44"/>
      <c r="AB512" s="44"/>
      <c r="AC512" s="44"/>
    </row>
    <row r="513" spans="18:29" ht="14.6">
      <c r="R513" s="63"/>
      <c r="S513" s="64"/>
      <c r="T513" s="65"/>
      <c r="U513" s="63"/>
      <c r="V513" s="66"/>
      <c r="W513" s="67"/>
      <c r="X513" s="68"/>
      <c r="Y513" s="44"/>
      <c r="Z513" s="44"/>
      <c r="AA513" s="44"/>
      <c r="AB513" s="44"/>
      <c r="AC513" s="44"/>
    </row>
    <row r="514" spans="18:29" ht="14.6">
      <c r="R514" s="63"/>
      <c r="S514" s="64"/>
      <c r="T514" s="65"/>
      <c r="U514" s="63"/>
      <c r="V514" s="66"/>
      <c r="W514" s="67"/>
      <c r="X514" s="68"/>
      <c r="Y514" s="44"/>
      <c r="Z514" s="44"/>
      <c r="AA514" s="44"/>
      <c r="AB514" s="44"/>
      <c r="AC514" s="44"/>
    </row>
    <row r="515" spans="18:29" ht="14.6">
      <c r="R515" s="63"/>
      <c r="S515" s="64"/>
      <c r="T515" s="65"/>
      <c r="U515" s="63"/>
      <c r="V515" s="66"/>
      <c r="W515" s="67"/>
      <c r="X515" s="68"/>
      <c r="Y515" s="44"/>
      <c r="Z515" s="44"/>
      <c r="AA515" s="44"/>
      <c r="AB515" s="44"/>
      <c r="AC515" s="44"/>
    </row>
    <row r="516" spans="18:29" ht="14.6">
      <c r="R516" s="63"/>
      <c r="S516" s="64"/>
      <c r="T516" s="65"/>
      <c r="U516" s="63"/>
      <c r="V516" s="66"/>
      <c r="W516" s="67"/>
      <c r="X516" s="68"/>
      <c r="Y516" s="44"/>
      <c r="Z516" s="44"/>
      <c r="AA516" s="44"/>
      <c r="AB516" s="44"/>
      <c r="AC516" s="44"/>
    </row>
    <row r="517" spans="18:29" ht="14.6">
      <c r="R517" s="63"/>
      <c r="S517" s="64"/>
      <c r="T517" s="65"/>
      <c r="U517" s="63"/>
      <c r="V517" s="66"/>
      <c r="W517" s="67"/>
      <c r="X517" s="68"/>
      <c r="Y517" s="44"/>
      <c r="Z517" s="44"/>
      <c r="AA517" s="44"/>
      <c r="AB517" s="44"/>
      <c r="AC517" s="44"/>
    </row>
    <row r="518" spans="18:29" ht="14.6">
      <c r="R518" s="63"/>
      <c r="S518" s="64"/>
      <c r="T518" s="65"/>
      <c r="U518" s="63"/>
      <c r="V518" s="66"/>
      <c r="W518" s="67"/>
      <c r="X518" s="68"/>
      <c r="Y518" s="44"/>
      <c r="Z518" s="44"/>
      <c r="AA518" s="44"/>
      <c r="AB518" s="44"/>
      <c r="AC518" s="44"/>
    </row>
    <row r="519" spans="18:29" ht="14.6">
      <c r="R519" s="63"/>
      <c r="S519" s="64"/>
      <c r="T519" s="65"/>
      <c r="U519" s="63"/>
      <c r="V519" s="66"/>
      <c r="W519" s="67"/>
      <c r="X519" s="68"/>
      <c r="Y519" s="44"/>
      <c r="Z519" s="44"/>
      <c r="AA519" s="44"/>
      <c r="AB519" s="44"/>
      <c r="AC519" s="44"/>
    </row>
    <row r="520" spans="18:29" ht="14.6">
      <c r="R520" s="63"/>
      <c r="S520" s="64"/>
      <c r="T520" s="65"/>
      <c r="U520" s="63"/>
      <c r="V520" s="66"/>
      <c r="W520" s="67"/>
      <c r="X520" s="68"/>
      <c r="Y520" s="44"/>
      <c r="Z520" s="44"/>
      <c r="AA520" s="44"/>
      <c r="AB520" s="44"/>
      <c r="AC520" s="44"/>
    </row>
    <row r="521" spans="18:29" ht="14.6">
      <c r="R521" s="63"/>
      <c r="S521" s="64"/>
      <c r="T521" s="65"/>
      <c r="U521" s="63"/>
      <c r="V521" s="66"/>
      <c r="W521" s="67"/>
      <c r="X521" s="68"/>
      <c r="Y521" s="44"/>
      <c r="Z521" s="44"/>
      <c r="AA521" s="44"/>
      <c r="AB521" s="44"/>
      <c r="AC521" s="44"/>
    </row>
    <row r="522" spans="18:29" ht="14.6">
      <c r="R522" s="63"/>
      <c r="S522" s="64"/>
      <c r="T522" s="65"/>
      <c r="U522" s="63"/>
      <c r="V522" s="66"/>
      <c r="W522" s="67"/>
      <c r="X522" s="68"/>
      <c r="Y522" s="44"/>
      <c r="Z522" s="44"/>
      <c r="AA522" s="44"/>
      <c r="AB522" s="44"/>
      <c r="AC522" s="44"/>
    </row>
    <row r="523" spans="18:29" ht="14.6">
      <c r="R523" s="63"/>
      <c r="S523" s="64"/>
      <c r="T523" s="65"/>
      <c r="U523" s="63"/>
      <c r="V523" s="66"/>
      <c r="W523" s="67"/>
      <c r="X523" s="68"/>
      <c r="Y523" s="44"/>
      <c r="Z523" s="44"/>
      <c r="AA523" s="44"/>
      <c r="AB523" s="44"/>
      <c r="AC523" s="44"/>
    </row>
    <row r="524" spans="18:29" ht="14.6">
      <c r="R524" s="63"/>
      <c r="S524" s="64"/>
      <c r="T524" s="65"/>
      <c r="U524" s="63"/>
      <c r="V524" s="66"/>
      <c r="W524" s="67"/>
      <c r="X524" s="68"/>
      <c r="Y524" s="44"/>
      <c r="Z524" s="44"/>
      <c r="AA524" s="44"/>
      <c r="AB524" s="44"/>
      <c r="AC524" s="44"/>
    </row>
    <row r="525" spans="18:29" ht="14.6">
      <c r="R525" s="63"/>
      <c r="S525" s="64"/>
      <c r="T525" s="65"/>
      <c r="U525" s="63"/>
      <c r="V525" s="66"/>
      <c r="W525" s="67"/>
      <c r="X525" s="68"/>
      <c r="Y525" s="44"/>
      <c r="Z525" s="44"/>
      <c r="AA525" s="44"/>
      <c r="AB525" s="44"/>
      <c r="AC525" s="44"/>
    </row>
    <row r="526" spans="18:29" ht="14.6">
      <c r="R526" s="63"/>
      <c r="S526" s="64"/>
      <c r="T526" s="65"/>
      <c r="U526" s="63"/>
      <c r="V526" s="66"/>
      <c r="W526" s="67"/>
      <c r="X526" s="68"/>
      <c r="Y526" s="44"/>
      <c r="Z526" s="44"/>
      <c r="AA526" s="44"/>
      <c r="AB526" s="44"/>
      <c r="AC526" s="44"/>
    </row>
    <row r="527" spans="18:29" ht="14.6">
      <c r="R527" s="63"/>
      <c r="S527" s="64"/>
      <c r="T527" s="65"/>
      <c r="U527" s="63"/>
      <c r="V527" s="66"/>
      <c r="W527" s="67"/>
      <c r="X527" s="68"/>
      <c r="Y527" s="44"/>
      <c r="Z527" s="44"/>
      <c r="AA527" s="44"/>
      <c r="AB527" s="44"/>
      <c r="AC527" s="44"/>
    </row>
    <row r="528" spans="18:29" ht="14.6">
      <c r="R528" s="63"/>
      <c r="S528" s="64"/>
      <c r="T528" s="65"/>
      <c r="U528" s="63"/>
      <c r="V528" s="66"/>
      <c r="W528" s="67"/>
      <c r="X528" s="68"/>
      <c r="Y528" s="44"/>
      <c r="Z528" s="44"/>
      <c r="AA528" s="44"/>
      <c r="AB528" s="44"/>
      <c r="AC528" s="44"/>
    </row>
    <row r="529" spans="18:29" ht="14.6">
      <c r="R529" s="63"/>
      <c r="S529" s="64"/>
      <c r="T529" s="65"/>
      <c r="U529" s="63"/>
      <c r="V529" s="66"/>
      <c r="W529" s="67"/>
      <c r="X529" s="68"/>
      <c r="Y529" s="44"/>
      <c r="Z529" s="44"/>
      <c r="AA529" s="44"/>
      <c r="AB529" s="44"/>
      <c r="AC529" s="44"/>
    </row>
    <row r="530" spans="18:29" ht="14.6">
      <c r="R530" s="63"/>
      <c r="S530" s="64"/>
      <c r="T530" s="65"/>
      <c r="U530" s="63"/>
      <c r="V530" s="66"/>
      <c r="W530" s="67"/>
      <c r="X530" s="68"/>
      <c r="Y530" s="44"/>
      <c r="Z530" s="44"/>
      <c r="AA530" s="44"/>
      <c r="AB530" s="44"/>
      <c r="AC530" s="44"/>
    </row>
    <row r="531" spans="18:29" ht="14.6">
      <c r="R531" s="63"/>
      <c r="S531" s="64"/>
      <c r="T531" s="65"/>
      <c r="U531" s="63"/>
      <c r="V531" s="66"/>
      <c r="W531" s="67"/>
      <c r="X531" s="68"/>
      <c r="Y531" s="44"/>
      <c r="Z531" s="44"/>
      <c r="AA531" s="44"/>
      <c r="AB531" s="44"/>
      <c r="AC531" s="44"/>
    </row>
    <row r="532" spans="18:29" ht="14.6">
      <c r="R532" s="63"/>
      <c r="S532" s="64"/>
      <c r="T532" s="65"/>
      <c r="U532" s="63"/>
      <c r="V532" s="66"/>
      <c r="W532" s="67"/>
      <c r="X532" s="68"/>
      <c r="Y532" s="44"/>
      <c r="Z532" s="44"/>
      <c r="AA532" s="44"/>
      <c r="AB532" s="44"/>
      <c r="AC532" s="44"/>
    </row>
    <row r="533" spans="18:29" ht="14.6">
      <c r="R533" s="63"/>
      <c r="S533" s="64"/>
      <c r="T533" s="65"/>
      <c r="U533" s="63"/>
      <c r="V533" s="66"/>
      <c r="W533" s="67"/>
      <c r="X533" s="68"/>
      <c r="Y533" s="44"/>
      <c r="Z533" s="44"/>
      <c r="AA533" s="44"/>
      <c r="AB533" s="44"/>
      <c r="AC533" s="44"/>
    </row>
    <row r="534" spans="18:29" ht="14.6">
      <c r="R534" s="63"/>
      <c r="S534" s="64"/>
      <c r="T534" s="65"/>
      <c r="U534" s="63"/>
      <c r="V534" s="66"/>
      <c r="W534" s="67"/>
      <c r="X534" s="68"/>
      <c r="Y534" s="44"/>
      <c r="Z534" s="44"/>
      <c r="AA534" s="44"/>
      <c r="AB534" s="44"/>
      <c r="AC534" s="44"/>
    </row>
    <row r="535" spans="18:29" ht="14.6">
      <c r="R535" s="63"/>
      <c r="S535" s="64"/>
      <c r="T535" s="65"/>
      <c r="U535" s="63"/>
      <c r="V535" s="66"/>
      <c r="W535" s="67"/>
      <c r="X535" s="68"/>
      <c r="Y535" s="44"/>
      <c r="Z535" s="44"/>
      <c r="AA535" s="44"/>
      <c r="AB535" s="44"/>
      <c r="AC535" s="44"/>
    </row>
    <row r="536" spans="18:29" ht="14.6">
      <c r="R536" s="63"/>
      <c r="S536" s="64"/>
      <c r="T536" s="65"/>
      <c r="U536" s="63"/>
      <c r="V536" s="66"/>
      <c r="W536" s="67"/>
      <c r="X536" s="68"/>
      <c r="Y536" s="44"/>
      <c r="Z536" s="44"/>
      <c r="AA536" s="44"/>
      <c r="AB536" s="44"/>
      <c r="AC536" s="44"/>
    </row>
    <row r="537" spans="18:29" ht="14.6">
      <c r="R537" s="63"/>
      <c r="S537" s="64"/>
      <c r="T537" s="65"/>
      <c r="U537" s="63"/>
      <c r="V537" s="66"/>
      <c r="W537" s="67"/>
      <c r="X537" s="68"/>
      <c r="Y537" s="44"/>
      <c r="Z537" s="44"/>
      <c r="AA537" s="44"/>
      <c r="AB537" s="44"/>
      <c r="AC537" s="44"/>
    </row>
    <row r="538" spans="18:29" ht="14.6">
      <c r="R538" s="63"/>
      <c r="S538" s="64"/>
      <c r="T538" s="65"/>
      <c r="U538" s="63"/>
      <c r="V538" s="66"/>
      <c r="W538" s="67"/>
      <c r="X538" s="68"/>
      <c r="Y538" s="44"/>
      <c r="Z538" s="44"/>
      <c r="AA538" s="44"/>
      <c r="AB538" s="44"/>
      <c r="AC538" s="44"/>
    </row>
    <row r="539" spans="18:29" ht="14.6">
      <c r="R539" s="63"/>
      <c r="S539" s="64"/>
      <c r="T539" s="65"/>
      <c r="U539" s="63"/>
      <c r="V539" s="66"/>
      <c r="W539" s="67"/>
      <c r="X539" s="68"/>
      <c r="Y539" s="44"/>
      <c r="Z539" s="44"/>
      <c r="AA539" s="44"/>
      <c r="AB539" s="44"/>
      <c r="AC539" s="44"/>
    </row>
    <row r="540" spans="18:29" ht="14.6">
      <c r="R540" s="63"/>
      <c r="S540" s="64"/>
      <c r="T540" s="65"/>
      <c r="U540" s="63"/>
      <c r="V540" s="66"/>
      <c r="W540" s="67"/>
      <c r="X540" s="68"/>
      <c r="Y540" s="44"/>
      <c r="Z540" s="44"/>
      <c r="AA540" s="44"/>
      <c r="AB540" s="44"/>
      <c r="AC540" s="44"/>
    </row>
    <row r="541" spans="18:29" ht="14.6">
      <c r="R541" s="63"/>
      <c r="S541" s="64"/>
      <c r="T541" s="65"/>
      <c r="U541" s="63"/>
      <c r="V541" s="66"/>
      <c r="W541" s="67"/>
      <c r="X541" s="68"/>
      <c r="Y541" s="44"/>
      <c r="Z541" s="44"/>
      <c r="AA541" s="44"/>
      <c r="AB541" s="44"/>
      <c r="AC541" s="44"/>
    </row>
    <row r="542" spans="18:29" ht="14.6">
      <c r="R542" s="63"/>
      <c r="S542" s="64"/>
      <c r="T542" s="65"/>
      <c r="U542" s="63"/>
      <c r="V542" s="66"/>
      <c r="W542" s="67"/>
      <c r="X542" s="68"/>
      <c r="Y542" s="44"/>
      <c r="Z542" s="44"/>
      <c r="AA542" s="44"/>
      <c r="AB542" s="44"/>
      <c r="AC542" s="44"/>
    </row>
    <row r="543" spans="18:29" ht="14.6">
      <c r="R543" s="63"/>
      <c r="S543" s="64"/>
      <c r="T543" s="65"/>
      <c r="U543" s="63"/>
      <c r="V543" s="66"/>
      <c r="W543" s="67"/>
      <c r="X543" s="68"/>
      <c r="Y543" s="44"/>
      <c r="Z543" s="44"/>
      <c r="AA543" s="44"/>
      <c r="AB543" s="44"/>
      <c r="AC543" s="44"/>
    </row>
    <row r="544" spans="18:29" ht="14.6">
      <c r="R544" s="63"/>
      <c r="S544" s="64"/>
      <c r="T544" s="65"/>
      <c r="U544" s="63"/>
      <c r="V544" s="66"/>
      <c r="W544" s="67"/>
      <c r="X544" s="68"/>
      <c r="Y544" s="44"/>
      <c r="Z544" s="44"/>
      <c r="AA544" s="44"/>
      <c r="AB544" s="44"/>
      <c r="AC544" s="44"/>
    </row>
    <row r="545" spans="18:29" ht="14.6">
      <c r="R545" s="63"/>
      <c r="S545" s="64"/>
      <c r="T545" s="65"/>
      <c r="U545" s="63"/>
      <c r="V545" s="66"/>
      <c r="W545" s="67"/>
      <c r="X545" s="68"/>
      <c r="Y545" s="44"/>
      <c r="Z545" s="44"/>
      <c r="AA545" s="44"/>
      <c r="AB545" s="44"/>
      <c r="AC545" s="44"/>
    </row>
    <row r="546" spans="18:29" ht="14.6">
      <c r="R546" s="63"/>
      <c r="S546" s="64"/>
      <c r="T546" s="65"/>
      <c r="U546" s="63"/>
      <c r="V546" s="66"/>
      <c r="W546" s="67"/>
      <c r="X546" s="68"/>
      <c r="Y546" s="44"/>
      <c r="Z546" s="44"/>
      <c r="AA546" s="44"/>
      <c r="AB546" s="44"/>
      <c r="AC546" s="44"/>
    </row>
    <row r="547" spans="18:29" ht="14.6">
      <c r="R547" s="63"/>
      <c r="S547" s="64"/>
      <c r="T547" s="65"/>
      <c r="U547" s="63"/>
      <c r="V547" s="66"/>
      <c r="W547" s="67"/>
      <c r="X547" s="68"/>
      <c r="Y547" s="44"/>
      <c r="Z547" s="44"/>
      <c r="AA547" s="44"/>
      <c r="AB547" s="44"/>
      <c r="AC547" s="44"/>
    </row>
    <row r="548" spans="18:29" ht="14.6">
      <c r="R548" s="63"/>
      <c r="S548" s="64"/>
      <c r="T548" s="65"/>
      <c r="U548" s="63"/>
      <c r="V548" s="66"/>
      <c r="W548" s="67"/>
      <c r="X548" s="68"/>
      <c r="Y548" s="44"/>
      <c r="Z548" s="44"/>
      <c r="AA548" s="44"/>
      <c r="AB548" s="44"/>
      <c r="AC548" s="44"/>
    </row>
    <row r="549" spans="18:29" ht="14.6">
      <c r="R549" s="63"/>
      <c r="S549" s="64"/>
      <c r="T549" s="65"/>
      <c r="U549" s="63"/>
      <c r="V549" s="66"/>
      <c r="W549" s="67"/>
      <c r="X549" s="68"/>
      <c r="Y549" s="44"/>
      <c r="Z549" s="44"/>
      <c r="AA549" s="44"/>
      <c r="AB549" s="44"/>
      <c r="AC549" s="44"/>
    </row>
    <row r="550" spans="18:29" ht="14.6">
      <c r="R550" s="63"/>
      <c r="S550" s="64"/>
      <c r="T550" s="65"/>
      <c r="U550" s="63"/>
      <c r="V550" s="66"/>
      <c r="W550" s="67"/>
      <c r="X550" s="68"/>
      <c r="Y550" s="44"/>
      <c r="Z550" s="44"/>
      <c r="AA550" s="44"/>
      <c r="AB550" s="44"/>
      <c r="AC550" s="44"/>
    </row>
    <row r="551" spans="18:29" ht="14.6">
      <c r="R551" s="63"/>
      <c r="S551" s="64"/>
      <c r="T551" s="65"/>
      <c r="U551" s="63"/>
      <c r="V551" s="66"/>
      <c r="W551" s="67"/>
      <c r="X551" s="68"/>
      <c r="Y551" s="44"/>
      <c r="Z551" s="44"/>
      <c r="AA551" s="44"/>
      <c r="AB551" s="44"/>
      <c r="AC551" s="44"/>
    </row>
    <row r="552" spans="18:29" ht="14.6">
      <c r="R552" s="63"/>
      <c r="S552" s="64"/>
      <c r="T552" s="65"/>
      <c r="U552" s="63"/>
      <c r="V552" s="66"/>
      <c r="W552" s="67"/>
      <c r="X552" s="68"/>
      <c r="Y552" s="44"/>
      <c r="Z552" s="44"/>
      <c r="AA552" s="44"/>
      <c r="AB552" s="44"/>
      <c r="AC552" s="44"/>
    </row>
    <row r="553" spans="18:29" ht="14.6">
      <c r="R553" s="63"/>
      <c r="S553" s="64"/>
      <c r="T553" s="65"/>
      <c r="U553" s="63"/>
      <c r="V553" s="66"/>
      <c r="W553" s="67"/>
      <c r="X553" s="68"/>
      <c r="Y553" s="44"/>
      <c r="Z553" s="44"/>
      <c r="AA553" s="44"/>
      <c r="AB553" s="44"/>
      <c r="AC553" s="44"/>
    </row>
    <row r="554" spans="18:29" ht="14.6">
      <c r="R554" s="63"/>
      <c r="S554" s="64"/>
      <c r="T554" s="65"/>
      <c r="U554" s="63"/>
      <c r="V554" s="66"/>
      <c r="W554" s="67"/>
      <c r="X554" s="68"/>
      <c r="Y554" s="44"/>
      <c r="Z554" s="44"/>
      <c r="AA554" s="44"/>
      <c r="AB554" s="44"/>
      <c r="AC554" s="44"/>
    </row>
    <row r="555" spans="18:29" ht="14.6">
      <c r="R555" s="63"/>
      <c r="S555" s="64"/>
      <c r="T555" s="65"/>
      <c r="U555" s="63"/>
      <c r="V555" s="66"/>
      <c r="W555" s="67"/>
      <c r="X555" s="68"/>
      <c r="Y555" s="44"/>
      <c r="Z555" s="44"/>
      <c r="AA555" s="44"/>
      <c r="AB555" s="44"/>
      <c r="AC555" s="44"/>
    </row>
    <row r="556" spans="18:29" ht="14.6">
      <c r="R556" s="63"/>
      <c r="S556" s="64"/>
      <c r="T556" s="65"/>
      <c r="U556" s="63"/>
      <c r="V556" s="66"/>
      <c r="W556" s="67"/>
      <c r="X556" s="68"/>
      <c r="Y556" s="44"/>
      <c r="Z556" s="44"/>
      <c r="AA556" s="44"/>
      <c r="AB556" s="44"/>
      <c r="AC556" s="44"/>
    </row>
    <row r="557" spans="18:29" ht="14.6">
      <c r="R557" s="63"/>
      <c r="S557" s="64"/>
      <c r="T557" s="65"/>
      <c r="U557" s="63"/>
      <c r="V557" s="66"/>
      <c r="W557" s="67"/>
      <c r="X557" s="68"/>
      <c r="Y557" s="44"/>
      <c r="Z557" s="44"/>
      <c r="AA557" s="44"/>
      <c r="AB557" s="44"/>
      <c r="AC557" s="44"/>
    </row>
    <row r="558" spans="18:29" ht="14.6">
      <c r="R558" s="63"/>
      <c r="S558" s="64"/>
      <c r="T558" s="65"/>
      <c r="U558" s="63"/>
      <c r="V558" s="66"/>
      <c r="W558" s="67"/>
      <c r="X558" s="68"/>
      <c r="Y558" s="44"/>
      <c r="Z558" s="44"/>
      <c r="AA558" s="44"/>
      <c r="AB558" s="44"/>
      <c r="AC558" s="44"/>
    </row>
    <row r="559" spans="18:29" ht="14.6">
      <c r="R559" s="63"/>
      <c r="S559" s="64"/>
      <c r="T559" s="65"/>
      <c r="U559" s="63"/>
      <c r="V559" s="66"/>
      <c r="W559" s="67"/>
      <c r="X559" s="68"/>
      <c r="Y559" s="44"/>
      <c r="Z559" s="44"/>
      <c r="AA559" s="44"/>
      <c r="AB559" s="44"/>
      <c r="AC559" s="44"/>
    </row>
    <row r="560" spans="18:29" ht="14.6">
      <c r="R560" s="63"/>
      <c r="S560" s="64"/>
      <c r="T560" s="65"/>
      <c r="U560" s="63"/>
      <c r="V560" s="66"/>
      <c r="W560" s="67"/>
      <c r="X560" s="68"/>
      <c r="Y560" s="44"/>
      <c r="Z560" s="44"/>
      <c r="AA560" s="44"/>
      <c r="AB560" s="44"/>
      <c r="AC560" s="44"/>
    </row>
    <row r="561" spans="18:29" ht="14.6">
      <c r="R561" s="63"/>
      <c r="S561" s="64"/>
      <c r="T561" s="65"/>
      <c r="U561" s="63"/>
      <c r="V561" s="66"/>
      <c r="W561" s="67"/>
      <c r="X561" s="68"/>
      <c r="Y561" s="44"/>
      <c r="Z561" s="44"/>
      <c r="AA561" s="44"/>
      <c r="AB561" s="44"/>
      <c r="AC561" s="44"/>
    </row>
    <row r="562" spans="18:29" ht="14.6">
      <c r="R562" s="63"/>
      <c r="S562" s="64"/>
      <c r="T562" s="65"/>
      <c r="U562" s="63"/>
      <c r="V562" s="66"/>
      <c r="W562" s="67"/>
      <c r="X562" s="68"/>
      <c r="Y562" s="44"/>
      <c r="Z562" s="44"/>
      <c r="AA562" s="44"/>
      <c r="AB562" s="44"/>
      <c r="AC562" s="44"/>
    </row>
    <row r="563" spans="18:29" ht="14.6">
      <c r="R563" s="63"/>
      <c r="S563" s="64"/>
      <c r="T563" s="65"/>
      <c r="U563" s="63"/>
      <c r="V563" s="66"/>
      <c r="W563" s="67"/>
      <c r="X563" s="68"/>
      <c r="Y563" s="44"/>
      <c r="Z563" s="44"/>
      <c r="AA563" s="44"/>
      <c r="AB563" s="44"/>
      <c r="AC563" s="44"/>
    </row>
    <row r="564" spans="18:29" ht="14.6">
      <c r="R564" s="63"/>
      <c r="S564" s="64"/>
      <c r="T564" s="65"/>
      <c r="U564" s="63"/>
      <c r="V564" s="66"/>
      <c r="W564" s="67"/>
      <c r="X564" s="68"/>
      <c r="Y564" s="44"/>
      <c r="Z564" s="44"/>
      <c r="AA564" s="44"/>
      <c r="AB564" s="44"/>
      <c r="AC564" s="44"/>
    </row>
    <row r="565" spans="18:29" ht="14.6">
      <c r="R565" s="63"/>
      <c r="S565" s="64"/>
      <c r="T565" s="65"/>
      <c r="U565" s="63"/>
      <c r="V565" s="66"/>
      <c r="W565" s="67"/>
      <c r="X565" s="68"/>
      <c r="Y565" s="44"/>
      <c r="Z565" s="44"/>
      <c r="AA565" s="44"/>
      <c r="AB565" s="44"/>
      <c r="AC565" s="44"/>
    </row>
    <row r="566" spans="18:29" ht="14.6">
      <c r="R566" s="63"/>
      <c r="S566" s="64"/>
      <c r="T566" s="65"/>
      <c r="U566" s="63"/>
      <c r="V566" s="66"/>
      <c r="W566" s="67"/>
      <c r="X566" s="68"/>
      <c r="Y566" s="44"/>
      <c r="Z566" s="44"/>
      <c r="AA566" s="44"/>
      <c r="AB566" s="44"/>
      <c r="AC566" s="44"/>
    </row>
    <row r="567" spans="18:29" ht="14.6">
      <c r="R567" s="63"/>
      <c r="S567" s="64"/>
      <c r="T567" s="65"/>
      <c r="U567" s="63"/>
      <c r="V567" s="66"/>
      <c r="W567" s="67"/>
      <c r="X567" s="68"/>
      <c r="Y567" s="44"/>
      <c r="Z567" s="44"/>
      <c r="AA567" s="44"/>
      <c r="AB567" s="44"/>
      <c r="AC567" s="44"/>
    </row>
    <row r="568" spans="18:29" ht="14.6">
      <c r="R568" s="63"/>
      <c r="S568" s="64"/>
      <c r="T568" s="65"/>
      <c r="U568" s="63"/>
      <c r="V568" s="66"/>
      <c r="W568" s="67"/>
      <c r="X568" s="68"/>
      <c r="Y568" s="44"/>
      <c r="Z568" s="44"/>
      <c r="AA568" s="44"/>
      <c r="AB568" s="44"/>
      <c r="AC568" s="44"/>
    </row>
    <row r="569" spans="18:29" ht="14.6">
      <c r="R569" s="63"/>
      <c r="S569" s="64"/>
      <c r="T569" s="65"/>
      <c r="U569" s="63"/>
      <c r="V569" s="66"/>
      <c r="W569" s="67"/>
      <c r="X569" s="68"/>
      <c r="Y569" s="44"/>
      <c r="Z569" s="44"/>
      <c r="AA569" s="44"/>
      <c r="AB569" s="44"/>
      <c r="AC569" s="44"/>
    </row>
    <row r="570" spans="18:29" ht="14.6">
      <c r="R570" s="63"/>
      <c r="S570" s="64"/>
      <c r="T570" s="65"/>
      <c r="U570" s="63"/>
      <c r="V570" s="66"/>
      <c r="W570" s="67"/>
      <c r="X570" s="68"/>
      <c r="Y570" s="44"/>
      <c r="Z570" s="44"/>
      <c r="AA570" s="44"/>
      <c r="AB570" s="44"/>
      <c r="AC570" s="44"/>
    </row>
    <row r="571" spans="18:29" ht="14.6">
      <c r="R571" s="63"/>
      <c r="S571" s="64"/>
      <c r="T571" s="65"/>
      <c r="U571" s="63"/>
      <c r="V571" s="66"/>
      <c r="W571" s="67"/>
      <c r="X571" s="68"/>
      <c r="Y571" s="44"/>
      <c r="Z571" s="44"/>
      <c r="AA571" s="44"/>
      <c r="AB571" s="44"/>
      <c r="AC571" s="44"/>
    </row>
    <row r="572" spans="18:29" ht="14.6">
      <c r="R572" s="63"/>
      <c r="S572" s="64"/>
      <c r="T572" s="65"/>
      <c r="U572" s="63"/>
      <c r="V572" s="66"/>
      <c r="W572" s="67"/>
      <c r="X572" s="68"/>
      <c r="Y572" s="44"/>
      <c r="Z572" s="44"/>
      <c r="AA572" s="44"/>
      <c r="AB572" s="44"/>
      <c r="AC572" s="44"/>
    </row>
    <row r="573" spans="18:29" ht="14.6">
      <c r="R573" s="63"/>
      <c r="S573" s="64"/>
      <c r="T573" s="65"/>
      <c r="U573" s="63"/>
      <c r="V573" s="66"/>
      <c r="W573" s="67"/>
      <c r="X573" s="68"/>
      <c r="Y573" s="44"/>
      <c r="Z573" s="44"/>
      <c r="AA573" s="44"/>
      <c r="AB573" s="44"/>
      <c r="AC573" s="44"/>
    </row>
    <row r="574" spans="18:29" ht="14.6">
      <c r="R574" s="63"/>
      <c r="S574" s="64"/>
      <c r="T574" s="65"/>
      <c r="U574" s="63"/>
      <c r="V574" s="66"/>
      <c r="W574" s="67"/>
      <c r="X574" s="68"/>
      <c r="Y574" s="44"/>
      <c r="Z574" s="44"/>
      <c r="AA574" s="44"/>
      <c r="AB574" s="44"/>
      <c r="AC574" s="44"/>
    </row>
    <row r="575" spans="18:29" ht="14.6">
      <c r="R575" s="63"/>
      <c r="S575" s="64"/>
      <c r="T575" s="65"/>
      <c r="U575" s="63"/>
      <c r="V575" s="66"/>
      <c r="W575" s="67"/>
      <c r="X575" s="68"/>
      <c r="Y575" s="44"/>
      <c r="Z575" s="44"/>
      <c r="AA575" s="44"/>
      <c r="AB575" s="44"/>
      <c r="AC575" s="44"/>
    </row>
    <row r="576" spans="18:29" ht="14.6">
      <c r="R576" s="63"/>
      <c r="S576" s="64"/>
      <c r="T576" s="65"/>
      <c r="U576" s="63"/>
      <c r="V576" s="66"/>
      <c r="W576" s="67"/>
      <c r="X576" s="68"/>
      <c r="Y576" s="44"/>
      <c r="Z576" s="44"/>
      <c r="AA576" s="44"/>
      <c r="AB576" s="44"/>
      <c r="AC576" s="44"/>
    </row>
    <row r="577" spans="18:29" ht="14.6">
      <c r="R577" s="63"/>
      <c r="S577" s="64"/>
      <c r="T577" s="65"/>
      <c r="U577" s="63"/>
      <c r="V577" s="66"/>
      <c r="W577" s="67"/>
      <c r="X577" s="68"/>
      <c r="Y577" s="44"/>
      <c r="Z577" s="44"/>
      <c r="AA577" s="44"/>
      <c r="AB577" s="44"/>
      <c r="AC577" s="44"/>
    </row>
    <row r="578" spans="18:29" ht="14.6">
      <c r="R578" s="63"/>
      <c r="S578" s="64"/>
      <c r="T578" s="65"/>
      <c r="U578" s="63"/>
      <c r="V578" s="66"/>
      <c r="W578" s="67"/>
      <c r="X578" s="68"/>
      <c r="Y578" s="44"/>
      <c r="Z578" s="44"/>
      <c r="AA578" s="44"/>
      <c r="AB578" s="44"/>
      <c r="AC578" s="44"/>
    </row>
    <row r="579" spans="18:29" ht="14.6">
      <c r="R579" s="63"/>
      <c r="S579" s="64"/>
      <c r="T579" s="65"/>
      <c r="U579" s="63"/>
      <c r="V579" s="66"/>
      <c r="W579" s="67"/>
      <c r="X579" s="68"/>
      <c r="Y579" s="44"/>
      <c r="Z579" s="44"/>
      <c r="AA579" s="44"/>
      <c r="AB579" s="44"/>
      <c r="AC579" s="44"/>
    </row>
    <row r="580" spans="18:29" ht="14.6">
      <c r="R580" s="63"/>
      <c r="S580" s="64"/>
      <c r="T580" s="65"/>
      <c r="U580" s="63"/>
      <c r="V580" s="66"/>
      <c r="W580" s="67"/>
      <c r="X580" s="68"/>
      <c r="Y580" s="44"/>
      <c r="Z580" s="44"/>
      <c r="AA580" s="44"/>
      <c r="AB580" s="44"/>
      <c r="AC580" s="44"/>
    </row>
    <row r="581" spans="18:29" ht="14.6">
      <c r="R581" s="63"/>
      <c r="S581" s="64"/>
      <c r="T581" s="65"/>
      <c r="U581" s="63"/>
      <c r="V581" s="66"/>
      <c r="W581" s="67"/>
      <c r="X581" s="68"/>
      <c r="Y581" s="44"/>
      <c r="Z581" s="44"/>
      <c r="AA581" s="44"/>
      <c r="AB581" s="44"/>
      <c r="AC581" s="44"/>
    </row>
    <row r="582" spans="18:29" ht="14.6">
      <c r="R582" s="63"/>
      <c r="S582" s="64"/>
      <c r="T582" s="65"/>
      <c r="U582" s="63"/>
      <c r="V582" s="66"/>
      <c r="W582" s="67"/>
      <c r="X582" s="68"/>
      <c r="Y582" s="44"/>
      <c r="Z582" s="44"/>
      <c r="AA582" s="44"/>
      <c r="AB582" s="44"/>
      <c r="AC582" s="44"/>
    </row>
    <row r="583" spans="18:29" ht="14.6">
      <c r="R583" s="63"/>
      <c r="S583" s="64"/>
      <c r="T583" s="65"/>
      <c r="U583" s="63"/>
      <c r="V583" s="66"/>
      <c r="W583" s="67"/>
      <c r="X583" s="68"/>
      <c r="Y583" s="44"/>
      <c r="Z583" s="44"/>
      <c r="AA583" s="44"/>
      <c r="AB583" s="44"/>
      <c r="AC583" s="44"/>
    </row>
    <row r="584" spans="18:29" ht="14.6">
      <c r="R584" s="63"/>
      <c r="S584" s="64"/>
      <c r="T584" s="65"/>
      <c r="U584" s="63"/>
      <c r="V584" s="66"/>
      <c r="W584" s="67"/>
      <c r="X584" s="68"/>
      <c r="Y584" s="44"/>
      <c r="Z584" s="44"/>
      <c r="AA584" s="44"/>
      <c r="AB584" s="44"/>
      <c r="AC584" s="44"/>
    </row>
    <row r="585" spans="18:29" ht="14.6">
      <c r="R585" s="63"/>
      <c r="S585" s="64"/>
      <c r="T585" s="65"/>
      <c r="U585" s="63"/>
      <c r="V585" s="66"/>
      <c r="W585" s="67"/>
      <c r="X585" s="68"/>
      <c r="Y585" s="44"/>
      <c r="Z585" s="44"/>
      <c r="AA585" s="44"/>
      <c r="AB585" s="44"/>
      <c r="AC585" s="44"/>
    </row>
    <row r="586" spans="18:29" ht="14.6">
      <c r="R586" s="63"/>
      <c r="S586" s="64"/>
      <c r="T586" s="65"/>
      <c r="U586" s="63"/>
      <c r="V586" s="66"/>
      <c r="W586" s="67"/>
      <c r="X586" s="68"/>
      <c r="Y586" s="44"/>
      <c r="Z586" s="44"/>
      <c r="AA586" s="44"/>
      <c r="AB586" s="44"/>
      <c r="AC586" s="44"/>
    </row>
    <row r="587" spans="18:29" ht="14.6">
      <c r="R587" s="63"/>
      <c r="S587" s="64"/>
      <c r="T587" s="65"/>
      <c r="U587" s="63"/>
      <c r="V587" s="66"/>
      <c r="W587" s="67"/>
      <c r="X587" s="68"/>
      <c r="Y587" s="44"/>
      <c r="Z587" s="44"/>
      <c r="AA587" s="44"/>
      <c r="AB587" s="44"/>
      <c r="AC587" s="44"/>
    </row>
    <row r="588" spans="18:29" ht="14.6">
      <c r="R588" s="63"/>
      <c r="S588" s="64"/>
      <c r="T588" s="65"/>
      <c r="U588" s="63"/>
      <c r="V588" s="66"/>
      <c r="W588" s="67"/>
      <c r="X588" s="68"/>
      <c r="Y588" s="44"/>
      <c r="Z588" s="44"/>
      <c r="AA588" s="44"/>
      <c r="AB588" s="44"/>
      <c r="AC588" s="44"/>
    </row>
    <row r="589" spans="18:29" ht="14.6">
      <c r="R589" s="63"/>
      <c r="S589" s="64"/>
      <c r="T589" s="65"/>
      <c r="U589" s="63"/>
      <c r="V589" s="66"/>
      <c r="W589" s="67"/>
      <c r="X589" s="68"/>
      <c r="Y589" s="44"/>
      <c r="Z589" s="44"/>
      <c r="AA589" s="44"/>
      <c r="AB589" s="44"/>
      <c r="AC589" s="44"/>
    </row>
    <row r="590" spans="18:29" ht="14.6">
      <c r="R590" s="63"/>
      <c r="S590" s="64"/>
      <c r="T590" s="65"/>
      <c r="U590" s="63"/>
      <c r="V590" s="66"/>
      <c r="W590" s="67"/>
      <c r="X590" s="68"/>
      <c r="Y590" s="44"/>
      <c r="Z590" s="44"/>
      <c r="AA590" s="44"/>
      <c r="AB590" s="44"/>
      <c r="AC590" s="44"/>
    </row>
    <row r="591" spans="18:29" ht="14.6">
      <c r="R591" s="63"/>
      <c r="S591" s="64"/>
      <c r="T591" s="65"/>
      <c r="U591" s="63"/>
      <c r="V591" s="66"/>
      <c r="W591" s="67"/>
      <c r="X591" s="68"/>
      <c r="Y591" s="44"/>
      <c r="Z591" s="44"/>
      <c r="AA591" s="44"/>
      <c r="AB591" s="44"/>
      <c r="AC591" s="44"/>
    </row>
    <row r="592" spans="18:29" ht="14.6">
      <c r="R592" s="63"/>
      <c r="S592" s="64"/>
      <c r="T592" s="65"/>
      <c r="U592" s="63"/>
      <c r="V592" s="66"/>
      <c r="W592" s="67"/>
      <c r="X592" s="68"/>
      <c r="Y592" s="44"/>
      <c r="Z592" s="44"/>
      <c r="AA592" s="44"/>
      <c r="AB592" s="44"/>
      <c r="AC592" s="44"/>
    </row>
    <row r="593" spans="18:29" ht="14.6">
      <c r="R593" s="63"/>
      <c r="S593" s="64"/>
      <c r="T593" s="65"/>
      <c r="U593" s="63"/>
      <c r="V593" s="66"/>
      <c r="W593" s="67"/>
      <c r="X593" s="68"/>
      <c r="Y593" s="44"/>
      <c r="Z593" s="44"/>
      <c r="AA593" s="44"/>
      <c r="AB593" s="44"/>
      <c r="AC593" s="44"/>
    </row>
    <row r="594" spans="18:29" ht="14.6">
      <c r="R594" s="63"/>
      <c r="S594" s="64"/>
      <c r="T594" s="65"/>
      <c r="U594" s="63"/>
      <c r="V594" s="66"/>
      <c r="W594" s="67"/>
      <c r="X594" s="68"/>
      <c r="Y594" s="44"/>
      <c r="Z594" s="44"/>
      <c r="AA594" s="44"/>
      <c r="AB594" s="44"/>
      <c r="AC594" s="44"/>
    </row>
    <row r="595" spans="18:29" ht="14.6">
      <c r="R595" s="63"/>
      <c r="S595" s="64"/>
      <c r="T595" s="65"/>
      <c r="U595" s="63"/>
      <c r="V595" s="66"/>
      <c r="W595" s="67"/>
      <c r="X595" s="68"/>
      <c r="Y595" s="44"/>
      <c r="Z595" s="44"/>
      <c r="AA595" s="44"/>
      <c r="AB595" s="44"/>
      <c r="AC595" s="44"/>
    </row>
    <row r="596" spans="18:29" ht="14.6">
      <c r="R596" s="63"/>
      <c r="S596" s="64"/>
      <c r="T596" s="65"/>
      <c r="U596" s="63"/>
      <c r="V596" s="66"/>
      <c r="W596" s="67"/>
      <c r="X596" s="68"/>
      <c r="Y596" s="44"/>
      <c r="Z596" s="44"/>
      <c r="AA596" s="44"/>
      <c r="AB596" s="44"/>
      <c r="AC596" s="44"/>
    </row>
    <row r="597" spans="18:29" ht="14.6">
      <c r="R597" s="63"/>
      <c r="S597" s="64"/>
      <c r="T597" s="65"/>
      <c r="U597" s="63"/>
      <c r="V597" s="66"/>
      <c r="W597" s="67"/>
      <c r="X597" s="68"/>
      <c r="Y597" s="44"/>
      <c r="Z597" s="44"/>
      <c r="AA597" s="44"/>
      <c r="AB597" s="44"/>
      <c r="AC597" s="44"/>
    </row>
    <row r="598" spans="18:29" ht="14.6">
      <c r="R598" s="63"/>
      <c r="S598" s="64"/>
      <c r="T598" s="65"/>
      <c r="U598" s="63"/>
      <c r="V598" s="66"/>
      <c r="W598" s="67"/>
      <c r="X598" s="68"/>
      <c r="Y598" s="44"/>
      <c r="Z598" s="44"/>
      <c r="AA598" s="44"/>
      <c r="AB598" s="44"/>
      <c r="AC598" s="44"/>
    </row>
    <row r="599" spans="18:29" ht="14.6">
      <c r="R599" s="63"/>
      <c r="S599" s="64"/>
      <c r="T599" s="65"/>
      <c r="U599" s="63"/>
      <c r="V599" s="66"/>
      <c r="W599" s="67"/>
      <c r="X599" s="68"/>
      <c r="Y599" s="44"/>
      <c r="Z599" s="44"/>
      <c r="AA599" s="44"/>
      <c r="AB599" s="44"/>
      <c r="AC599" s="44"/>
    </row>
    <row r="600" spans="18:29" ht="14.6">
      <c r="R600" s="63"/>
      <c r="S600" s="64"/>
      <c r="T600" s="65"/>
      <c r="U600" s="63"/>
      <c r="V600" s="66"/>
      <c r="W600" s="67"/>
      <c r="X600" s="68"/>
      <c r="Y600" s="44"/>
      <c r="Z600" s="44"/>
      <c r="AA600" s="44"/>
      <c r="AB600" s="44"/>
      <c r="AC600" s="44"/>
    </row>
    <row r="601" spans="18:29" ht="14.6">
      <c r="R601" s="63"/>
      <c r="S601" s="64"/>
      <c r="T601" s="65"/>
      <c r="U601" s="63"/>
      <c r="V601" s="66"/>
      <c r="W601" s="67"/>
      <c r="X601" s="68"/>
      <c r="Y601" s="44"/>
      <c r="Z601" s="44"/>
      <c r="AA601" s="44"/>
      <c r="AB601" s="44"/>
      <c r="AC601" s="44"/>
    </row>
    <row r="602" spans="18:29" ht="14.6">
      <c r="R602" s="63"/>
      <c r="S602" s="64"/>
      <c r="T602" s="65"/>
      <c r="U602" s="63"/>
      <c r="V602" s="66"/>
      <c r="W602" s="67"/>
      <c r="X602" s="68"/>
      <c r="Y602" s="44"/>
      <c r="Z602" s="44"/>
      <c r="AA602" s="44"/>
      <c r="AB602" s="44"/>
      <c r="AC602" s="44"/>
    </row>
    <row r="603" spans="18:29" ht="14.6">
      <c r="R603" s="63"/>
      <c r="S603" s="64"/>
      <c r="T603" s="65"/>
      <c r="U603" s="63"/>
      <c r="V603" s="66"/>
      <c r="W603" s="67"/>
      <c r="X603" s="68"/>
      <c r="Y603" s="44"/>
      <c r="Z603" s="44"/>
      <c r="AA603" s="44"/>
      <c r="AB603" s="44"/>
      <c r="AC603" s="44"/>
    </row>
    <row r="604" spans="18:29" ht="14.6">
      <c r="R604" s="63"/>
      <c r="S604" s="64"/>
      <c r="T604" s="65"/>
      <c r="U604" s="63"/>
      <c r="V604" s="66"/>
      <c r="W604" s="67"/>
      <c r="X604" s="68"/>
      <c r="Y604" s="44"/>
      <c r="Z604" s="44"/>
      <c r="AA604" s="44"/>
      <c r="AB604" s="44"/>
      <c r="AC604" s="44"/>
    </row>
    <row r="605" spans="18:29" ht="14.6">
      <c r="R605" s="63"/>
      <c r="S605" s="64"/>
      <c r="T605" s="65"/>
      <c r="U605" s="63"/>
      <c r="V605" s="66"/>
      <c r="W605" s="67"/>
      <c r="X605" s="68"/>
      <c r="Y605" s="44"/>
      <c r="Z605" s="44"/>
      <c r="AA605" s="44"/>
      <c r="AB605" s="44"/>
      <c r="AC605" s="44"/>
    </row>
    <row r="606" spans="18:29" ht="14.6">
      <c r="R606" s="63"/>
      <c r="S606" s="64"/>
      <c r="T606" s="65"/>
      <c r="U606" s="63"/>
      <c r="V606" s="66"/>
      <c r="W606" s="67"/>
      <c r="X606" s="68"/>
      <c r="Y606" s="44"/>
      <c r="Z606" s="44"/>
      <c r="AA606" s="44"/>
      <c r="AB606" s="44"/>
      <c r="AC606" s="44"/>
    </row>
    <row r="607" spans="18:29" ht="14.6">
      <c r="R607" s="63"/>
      <c r="S607" s="64"/>
      <c r="T607" s="65"/>
      <c r="U607" s="63"/>
      <c r="V607" s="66"/>
      <c r="W607" s="67"/>
      <c r="X607" s="68"/>
      <c r="Y607" s="44"/>
      <c r="Z607" s="44"/>
      <c r="AA607" s="44"/>
      <c r="AB607" s="44"/>
      <c r="AC607" s="44"/>
    </row>
    <row r="608" spans="18:29" ht="14.6">
      <c r="R608" s="63"/>
      <c r="S608" s="64"/>
      <c r="T608" s="65"/>
      <c r="U608" s="63"/>
      <c r="V608" s="66"/>
      <c r="W608" s="67"/>
      <c r="X608" s="68"/>
      <c r="Y608" s="44"/>
      <c r="Z608" s="44"/>
      <c r="AA608" s="44"/>
      <c r="AB608" s="44"/>
      <c r="AC608" s="44"/>
    </row>
    <row r="609" spans="18:29" ht="14.6">
      <c r="R609" s="63"/>
      <c r="S609" s="64"/>
      <c r="T609" s="65"/>
      <c r="U609" s="63"/>
      <c r="V609" s="66"/>
      <c r="W609" s="67"/>
      <c r="X609" s="68"/>
      <c r="Y609" s="44"/>
      <c r="Z609" s="44"/>
      <c r="AA609" s="44"/>
      <c r="AB609" s="44"/>
      <c r="AC609" s="44"/>
    </row>
    <row r="610" spans="18:29" ht="14.6">
      <c r="R610" s="63"/>
      <c r="S610" s="64"/>
      <c r="T610" s="65"/>
      <c r="U610" s="63"/>
      <c r="V610" s="66"/>
      <c r="W610" s="67"/>
      <c r="X610" s="68"/>
      <c r="Y610" s="44"/>
      <c r="Z610" s="44"/>
      <c r="AA610" s="44"/>
      <c r="AB610" s="44"/>
      <c r="AC610" s="44"/>
    </row>
    <row r="611" spans="18:29" ht="14.6">
      <c r="R611" s="63"/>
      <c r="S611" s="64"/>
      <c r="T611" s="65"/>
      <c r="U611" s="63"/>
      <c r="V611" s="66"/>
      <c r="W611" s="67"/>
      <c r="X611" s="68"/>
      <c r="Y611" s="44"/>
      <c r="Z611" s="44"/>
      <c r="AA611" s="44"/>
      <c r="AB611" s="44"/>
      <c r="AC611" s="44"/>
    </row>
    <row r="612" spans="18:29" ht="14.6">
      <c r="R612" s="63"/>
      <c r="S612" s="64"/>
      <c r="T612" s="65"/>
      <c r="U612" s="63"/>
      <c r="V612" s="66"/>
      <c r="W612" s="67"/>
      <c r="X612" s="68"/>
      <c r="Y612" s="44"/>
      <c r="Z612" s="44"/>
      <c r="AA612" s="44"/>
      <c r="AB612" s="44"/>
      <c r="AC612" s="44"/>
    </row>
    <row r="613" spans="18:29" ht="14.6">
      <c r="R613" s="63"/>
      <c r="S613" s="64"/>
      <c r="T613" s="65"/>
      <c r="U613" s="63"/>
      <c r="V613" s="66"/>
      <c r="W613" s="67"/>
      <c r="X613" s="68"/>
      <c r="Y613" s="44"/>
      <c r="Z613" s="44"/>
      <c r="AA613" s="44"/>
      <c r="AB613" s="44"/>
      <c r="AC613" s="44"/>
    </row>
    <row r="614" spans="18:29" ht="14.6">
      <c r="R614" s="63"/>
      <c r="S614" s="64"/>
      <c r="T614" s="65"/>
      <c r="U614" s="63"/>
      <c r="V614" s="66"/>
      <c r="W614" s="67"/>
      <c r="X614" s="68"/>
      <c r="Y614" s="44"/>
      <c r="Z614" s="44"/>
      <c r="AA614" s="44"/>
      <c r="AB614" s="44"/>
      <c r="AC614" s="44"/>
    </row>
    <row r="615" spans="18:29" ht="14.6">
      <c r="R615" s="63"/>
      <c r="S615" s="64"/>
      <c r="T615" s="65"/>
      <c r="U615" s="63"/>
      <c r="V615" s="66"/>
      <c r="W615" s="67"/>
      <c r="X615" s="68"/>
      <c r="Y615" s="44"/>
      <c r="Z615" s="44"/>
      <c r="AA615" s="44"/>
      <c r="AB615" s="44"/>
      <c r="AC615" s="44"/>
    </row>
    <row r="616" spans="18:29" ht="14.6">
      <c r="R616" s="63"/>
      <c r="S616" s="64"/>
      <c r="T616" s="65"/>
      <c r="U616" s="63"/>
      <c r="V616" s="66"/>
      <c r="W616" s="67"/>
      <c r="X616" s="68"/>
      <c r="Y616" s="44"/>
      <c r="Z616" s="44"/>
      <c r="AA616" s="44"/>
      <c r="AB616" s="44"/>
      <c r="AC616" s="44"/>
    </row>
    <row r="617" spans="18:29" ht="14.6">
      <c r="R617" s="63"/>
      <c r="S617" s="64"/>
      <c r="T617" s="65"/>
      <c r="U617" s="63"/>
      <c r="V617" s="66"/>
      <c r="W617" s="67"/>
      <c r="X617" s="68"/>
      <c r="Y617" s="44"/>
      <c r="Z617" s="44"/>
      <c r="AA617" s="44"/>
      <c r="AB617" s="44"/>
      <c r="AC617" s="44"/>
    </row>
    <row r="618" spans="18:29" ht="14.6">
      <c r="R618" s="63"/>
      <c r="S618" s="64"/>
      <c r="T618" s="65"/>
      <c r="U618" s="63"/>
      <c r="V618" s="66"/>
      <c r="W618" s="67"/>
      <c r="X618" s="68"/>
      <c r="Y618" s="44"/>
      <c r="Z618" s="44"/>
      <c r="AA618" s="44"/>
      <c r="AB618" s="44"/>
      <c r="AC618" s="44"/>
    </row>
    <row r="619" spans="18:29" ht="14.6">
      <c r="R619" s="63"/>
      <c r="S619" s="64"/>
      <c r="T619" s="65"/>
      <c r="U619" s="63"/>
      <c r="V619" s="66"/>
      <c r="W619" s="67"/>
      <c r="X619" s="68"/>
      <c r="Y619" s="44"/>
      <c r="Z619" s="44"/>
      <c r="AA619" s="44"/>
      <c r="AB619" s="44"/>
      <c r="AC619" s="44"/>
    </row>
    <row r="620" spans="18:29" ht="14.6">
      <c r="R620" s="63"/>
      <c r="S620" s="64"/>
      <c r="T620" s="65"/>
      <c r="U620" s="63"/>
      <c r="V620" s="66"/>
      <c r="W620" s="67"/>
      <c r="X620" s="68"/>
      <c r="Y620" s="44"/>
      <c r="Z620" s="44"/>
      <c r="AA620" s="44"/>
      <c r="AB620" s="44"/>
      <c r="AC620" s="44"/>
    </row>
    <row r="621" spans="18:29" ht="14.6">
      <c r="R621" s="63"/>
      <c r="S621" s="64"/>
      <c r="T621" s="65"/>
      <c r="U621" s="63"/>
      <c r="V621" s="66"/>
      <c r="W621" s="67"/>
      <c r="X621" s="68"/>
      <c r="Y621" s="44"/>
      <c r="Z621" s="44"/>
      <c r="AA621" s="44"/>
      <c r="AB621" s="44"/>
      <c r="AC621" s="44"/>
    </row>
    <row r="622" spans="18:29" ht="14.6">
      <c r="R622" s="63"/>
      <c r="S622" s="64"/>
      <c r="T622" s="65"/>
      <c r="U622" s="63"/>
      <c r="V622" s="66"/>
      <c r="W622" s="67"/>
      <c r="X622" s="68"/>
      <c r="Y622" s="44"/>
      <c r="Z622" s="44"/>
      <c r="AA622" s="44"/>
      <c r="AB622" s="44"/>
      <c r="AC622" s="44"/>
    </row>
    <row r="623" spans="18:29" ht="14.6">
      <c r="R623" s="63"/>
      <c r="S623" s="64"/>
      <c r="T623" s="65"/>
      <c r="U623" s="63"/>
      <c r="V623" s="66"/>
      <c r="W623" s="67"/>
      <c r="X623" s="68"/>
      <c r="Y623" s="44"/>
      <c r="Z623" s="44"/>
      <c r="AA623" s="44"/>
      <c r="AB623" s="44"/>
      <c r="AC623" s="44"/>
    </row>
    <row r="624" spans="18:29" ht="14.6">
      <c r="R624" s="63"/>
      <c r="S624" s="64"/>
      <c r="T624" s="65"/>
      <c r="U624" s="63"/>
      <c r="V624" s="66"/>
      <c r="W624" s="67"/>
      <c r="X624" s="68"/>
      <c r="Y624" s="44"/>
      <c r="Z624" s="44"/>
      <c r="AA624" s="44"/>
      <c r="AB624" s="44"/>
      <c r="AC624" s="44"/>
    </row>
    <row r="625" spans="18:29" ht="14.6">
      <c r="R625" s="63"/>
      <c r="S625" s="64"/>
      <c r="T625" s="65"/>
      <c r="U625" s="63"/>
      <c r="V625" s="66"/>
      <c r="W625" s="67"/>
      <c r="X625" s="68"/>
      <c r="Y625" s="44"/>
      <c r="Z625" s="44"/>
      <c r="AA625" s="44"/>
      <c r="AB625" s="44"/>
      <c r="AC625" s="44"/>
    </row>
    <row r="626" spans="18:29" ht="14.6">
      <c r="R626" s="63"/>
      <c r="S626" s="64"/>
      <c r="T626" s="65"/>
      <c r="U626" s="63"/>
      <c r="V626" s="66"/>
      <c r="W626" s="67"/>
      <c r="X626" s="68"/>
      <c r="Y626" s="44"/>
      <c r="Z626" s="44"/>
      <c r="AA626" s="44"/>
      <c r="AB626" s="44"/>
      <c r="AC626" s="44"/>
    </row>
    <row r="627" spans="18:29" ht="14.6">
      <c r="R627" s="63"/>
      <c r="S627" s="64"/>
      <c r="T627" s="65"/>
      <c r="U627" s="63"/>
      <c r="V627" s="66"/>
      <c r="W627" s="67"/>
      <c r="X627" s="68"/>
      <c r="Y627" s="44"/>
      <c r="Z627" s="44"/>
      <c r="AA627" s="44"/>
      <c r="AB627" s="44"/>
      <c r="AC627" s="44"/>
    </row>
    <row r="628" spans="18:29" ht="14.6">
      <c r="R628" s="63"/>
      <c r="S628" s="64"/>
      <c r="T628" s="65"/>
      <c r="U628" s="63"/>
      <c r="V628" s="66"/>
      <c r="W628" s="67"/>
      <c r="X628" s="68"/>
      <c r="Y628" s="44"/>
      <c r="Z628" s="44"/>
      <c r="AA628" s="44"/>
      <c r="AB628" s="44"/>
      <c r="AC628" s="44"/>
    </row>
    <row r="629" spans="18:29" ht="14.6">
      <c r="R629" s="63"/>
      <c r="S629" s="64"/>
      <c r="T629" s="65"/>
      <c r="U629" s="63"/>
      <c r="V629" s="66"/>
      <c r="W629" s="67"/>
      <c r="X629" s="68"/>
      <c r="Y629" s="44"/>
      <c r="Z629" s="44"/>
      <c r="AA629" s="44"/>
      <c r="AB629" s="44"/>
      <c r="AC629" s="44"/>
    </row>
    <row r="630" spans="18:29" ht="14.6">
      <c r="R630" s="63"/>
      <c r="S630" s="64"/>
      <c r="T630" s="65"/>
      <c r="U630" s="63"/>
      <c r="V630" s="66"/>
      <c r="W630" s="67"/>
      <c r="X630" s="68"/>
      <c r="Y630" s="44"/>
      <c r="Z630" s="44"/>
      <c r="AA630" s="44"/>
      <c r="AB630" s="44"/>
      <c r="AC630" s="44"/>
    </row>
    <row r="631" spans="18:29" ht="14.6">
      <c r="R631" s="63"/>
      <c r="S631" s="64"/>
      <c r="T631" s="65"/>
      <c r="U631" s="63"/>
      <c r="V631" s="66"/>
      <c r="W631" s="67"/>
      <c r="X631" s="68"/>
      <c r="Y631" s="44"/>
      <c r="Z631" s="44"/>
      <c r="AA631" s="44"/>
      <c r="AB631" s="44"/>
      <c r="AC631" s="44"/>
    </row>
    <row r="632" spans="18:29" ht="14.6">
      <c r="R632" s="63"/>
      <c r="S632" s="64"/>
      <c r="T632" s="65"/>
      <c r="U632" s="63"/>
      <c r="V632" s="66"/>
      <c r="W632" s="67"/>
      <c r="X632" s="68"/>
      <c r="Y632" s="44"/>
      <c r="Z632" s="44"/>
      <c r="AA632" s="44"/>
      <c r="AB632" s="44"/>
      <c r="AC632" s="44"/>
    </row>
    <row r="633" spans="18:29" ht="14.6">
      <c r="R633" s="63"/>
      <c r="S633" s="64"/>
      <c r="T633" s="65"/>
      <c r="U633" s="63"/>
      <c r="V633" s="66"/>
      <c r="W633" s="67"/>
      <c r="X633" s="68"/>
      <c r="Y633" s="44"/>
      <c r="Z633" s="44"/>
      <c r="AA633" s="44"/>
      <c r="AB633" s="44"/>
      <c r="AC633" s="44"/>
    </row>
    <row r="634" spans="18:29" ht="14.6">
      <c r="R634" s="63"/>
      <c r="S634" s="64"/>
      <c r="T634" s="65"/>
      <c r="U634" s="63"/>
      <c r="V634" s="66"/>
      <c r="W634" s="67"/>
      <c r="X634" s="68"/>
      <c r="Y634" s="44"/>
      <c r="Z634" s="44"/>
      <c r="AA634" s="44"/>
      <c r="AB634" s="44"/>
      <c r="AC634" s="44"/>
    </row>
    <row r="635" spans="18:29" ht="14.6">
      <c r="R635" s="63"/>
      <c r="S635" s="64"/>
      <c r="T635" s="65"/>
      <c r="U635" s="63"/>
      <c r="V635" s="66"/>
      <c r="W635" s="67"/>
      <c r="X635" s="68"/>
      <c r="Y635" s="44"/>
      <c r="Z635" s="44"/>
      <c r="AA635" s="44"/>
      <c r="AB635" s="44"/>
      <c r="AC635" s="44"/>
    </row>
    <row r="636" spans="18:29" ht="14.6">
      <c r="R636" s="63"/>
      <c r="S636" s="64"/>
      <c r="T636" s="65"/>
      <c r="U636" s="63"/>
      <c r="V636" s="66"/>
      <c r="W636" s="67"/>
      <c r="X636" s="68"/>
      <c r="Y636" s="44"/>
      <c r="Z636" s="44"/>
      <c r="AA636" s="44"/>
      <c r="AB636" s="44"/>
      <c r="AC636" s="44"/>
    </row>
    <row r="637" spans="18:29" ht="14.6">
      <c r="R637" s="63"/>
      <c r="S637" s="64"/>
      <c r="T637" s="65"/>
      <c r="U637" s="63"/>
      <c r="V637" s="66"/>
      <c r="W637" s="67"/>
      <c r="X637" s="68"/>
      <c r="Y637" s="44"/>
      <c r="Z637" s="44"/>
      <c r="AA637" s="44"/>
      <c r="AB637" s="44"/>
      <c r="AC637" s="44"/>
    </row>
    <row r="638" spans="18:29" ht="14.6">
      <c r="R638" s="63"/>
      <c r="S638" s="64"/>
      <c r="T638" s="65"/>
      <c r="U638" s="63"/>
      <c r="V638" s="66"/>
      <c r="W638" s="67"/>
      <c r="X638" s="68"/>
      <c r="Y638" s="44"/>
      <c r="Z638" s="44"/>
      <c r="AA638" s="44"/>
      <c r="AB638" s="44"/>
      <c r="AC638" s="44"/>
    </row>
    <row r="639" spans="18:29" ht="14.6">
      <c r="R639" s="63"/>
      <c r="S639" s="64"/>
      <c r="T639" s="65"/>
      <c r="U639" s="63"/>
      <c r="V639" s="66"/>
      <c r="W639" s="67"/>
      <c r="X639" s="68"/>
      <c r="Y639" s="44"/>
      <c r="Z639" s="44"/>
      <c r="AA639" s="44"/>
      <c r="AB639" s="44"/>
      <c r="AC639" s="44"/>
    </row>
    <row r="640" spans="18:29" ht="14.6">
      <c r="R640" s="63"/>
      <c r="S640" s="64"/>
      <c r="T640" s="65"/>
      <c r="U640" s="63"/>
      <c r="V640" s="66"/>
      <c r="W640" s="67"/>
      <c r="X640" s="68"/>
      <c r="Y640" s="44"/>
      <c r="Z640" s="44"/>
      <c r="AA640" s="44"/>
      <c r="AB640" s="44"/>
      <c r="AC640" s="44"/>
    </row>
    <row r="641" spans="18:29" ht="14.6">
      <c r="R641" s="63"/>
      <c r="S641" s="64"/>
      <c r="T641" s="65"/>
      <c r="U641" s="63"/>
      <c r="V641" s="66"/>
      <c r="W641" s="67"/>
      <c r="X641" s="68"/>
      <c r="Y641" s="44"/>
      <c r="Z641" s="44"/>
      <c r="AA641" s="44"/>
      <c r="AB641" s="44"/>
      <c r="AC641" s="44"/>
    </row>
    <row r="642" spans="18:29" ht="14.6">
      <c r="R642" s="63"/>
      <c r="S642" s="64"/>
      <c r="T642" s="65"/>
      <c r="U642" s="63"/>
      <c r="V642" s="66"/>
      <c r="W642" s="67"/>
      <c r="X642" s="68"/>
      <c r="Y642" s="44"/>
      <c r="Z642" s="44"/>
      <c r="AA642" s="44"/>
      <c r="AB642" s="44"/>
      <c r="AC642" s="44"/>
    </row>
    <row r="643" spans="18:29" ht="14.6">
      <c r="R643" s="63"/>
      <c r="S643" s="64"/>
      <c r="T643" s="65"/>
      <c r="U643" s="63"/>
      <c r="V643" s="66"/>
      <c r="W643" s="67"/>
      <c r="X643" s="68"/>
      <c r="Y643" s="44"/>
      <c r="Z643" s="44"/>
      <c r="AA643" s="44"/>
      <c r="AB643" s="44"/>
      <c r="AC643" s="44"/>
    </row>
    <row r="644" spans="18:29" ht="14.6">
      <c r="R644" s="63"/>
      <c r="S644" s="64"/>
      <c r="T644" s="65"/>
      <c r="U644" s="63"/>
      <c r="V644" s="66"/>
      <c r="W644" s="67"/>
      <c r="X644" s="68"/>
      <c r="Y644" s="44"/>
      <c r="Z644" s="44"/>
      <c r="AA644" s="44"/>
      <c r="AB644" s="44"/>
      <c r="AC644" s="44"/>
    </row>
    <row r="645" spans="18:29" ht="14.6">
      <c r="R645" s="63"/>
      <c r="S645" s="64"/>
      <c r="T645" s="65"/>
      <c r="U645" s="63"/>
      <c r="V645" s="66"/>
      <c r="W645" s="67"/>
      <c r="X645" s="68"/>
      <c r="Y645" s="44"/>
      <c r="Z645" s="44"/>
      <c r="AA645" s="44"/>
      <c r="AB645" s="44"/>
      <c r="AC645" s="44"/>
    </row>
    <row r="646" spans="18:29" ht="14.6">
      <c r="R646" s="63"/>
      <c r="S646" s="64"/>
      <c r="T646" s="65"/>
      <c r="U646" s="63"/>
      <c r="V646" s="66"/>
      <c r="W646" s="67"/>
      <c r="X646" s="68"/>
      <c r="Y646" s="44"/>
      <c r="Z646" s="44"/>
      <c r="AA646" s="44"/>
      <c r="AB646" s="44"/>
      <c r="AC646" s="44"/>
    </row>
    <row r="647" spans="18:29" ht="14.6">
      <c r="R647" s="63"/>
      <c r="S647" s="64"/>
      <c r="T647" s="65"/>
      <c r="U647" s="63"/>
      <c r="V647" s="66"/>
      <c r="W647" s="67"/>
      <c r="X647" s="68"/>
      <c r="Y647" s="44"/>
      <c r="Z647" s="44"/>
      <c r="AA647" s="44"/>
      <c r="AB647" s="44"/>
      <c r="AC647" s="44"/>
    </row>
    <row r="648" spans="18:29" ht="14.6">
      <c r="R648" s="63"/>
      <c r="S648" s="64"/>
      <c r="T648" s="65"/>
      <c r="U648" s="63"/>
      <c r="V648" s="66"/>
      <c r="W648" s="67"/>
      <c r="X648" s="68"/>
      <c r="Y648" s="44"/>
      <c r="Z648" s="44"/>
      <c r="AA648" s="44"/>
      <c r="AB648" s="44"/>
      <c r="AC648" s="44"/>
    </row>
    <row r="649" spans="18:29" ht="14.6">
      <c r="R649" s="63"/>
      <c r="S649" s="64"/>
      <c r="T649" s="65"/>
      <c r="U649" s="63"/>
      <c r="V649" s="66"/>
      <c r="W649" s="67"/>
      <c r="X649" s="68"/>
      <c r="Y649" s="44"/>
      <c r="Z649" s="44"/>
      <c r="AA649" s="44"/>
      <c r="AB649" s="44"/>
      <c r="AC649" s="44"/>
    </row>
    <row r="650" spans="18:29" ht="14.6">
      <c r="R650" s="63"/>
      <c r="S650" s="64"/>
      <c r="T650" s="65"/>
      <c r="U650" s="63"/>
      <c r="V650" s="66"/>
      <c r="W650" s="67"/>
      <c r="X650" s="68"/>
      <c r="Y650" s="44"/>
      <c r="Z650" s="44"/>
      <c r="AA650" s="44"/>
      <c r="AB650" s="44"/>
      <c r="AC650" s="44"/>
    </row>
    <row r="651" spans="18:29" ht="14.6">
      <c r="R651" s="63"/>
      <c r="S651" s="64"/>
      <c r="T651" s="65"/>
      <c r="U651" s="63"/>
      <c r="V651" s="66"/>
      <c r="W651" s="67"/>
      <c r="X651" s="68"/>
      <c r="Y651" s="44"/>
      <c r="Z651" s="44"/>
      <c r="AA651" s="44"/>
      <c r="AB651" s="44"/>
      <c r="AC651" s="44"/>
    </row>
    <row r="652" spans="18:29" ht="14.6">
      <c r="R652" s="63"/>
      <c r="S652" s="64"/>
      <c r="T652" s="65"/>
      <c r="U652" s="63"/>
      <c r="V652" s="66"/>
      <c r="W652" s="67"/>
      <c r="X652" s="68"/>
      <c r="Y652" s="44"/>
      <c r="Z652" s="44"/>
      <c r="AA652" s="44"/>
      <c r="AB652" s="44"/>
      <c r="AC652" s="44"/>
    </row>
    <row r="653" spans="18:29" ht="14.6">
      <c r="R653" s="63"/>
      <c r="S653" s="64"/>
      <c r="T653" s="65"/>
      <c r="U653" s="63"/>
      <c r="V653" s="66"/>
      <c r="W653" s="67"/>
      <c r="X653" s="68"/>
      <c r="Y653" s="44"/>
      <c r="Z653" s="44"/>
      <c r="AA653" s="44"/>
      <c r="AB653" s="44"/>
      <c r="AC653" s="44"/>
    </row>
    <row r="654" spans="18:29" ht="14.6">
      <c r="R654" s="63"/>
      <c r="S654" s="64"/>
      <c r="T654" s="65"/>
      <c r="U654" s="63"/>
      <c r="V654" s="66"/>
      <c r="W654" s="67"/>
      <c r="X654" s="68"/>
      <c r="Y654" s="44"/>
      <c r="Z654" s="44"/>
      <c r="AA654" s="44"/>
      <c r="AB654" s="44"/>
      <c r="AC654" s="44"/>
    </row>
    <row r="655" spans="18:29" ht="14.6">
      <c r="R655" s="63"/>
      <c r="S655" s="64"/>
      <c r="T655" s="65"/>
      <c r="U655" s="63"/>
      <c r="V655" s="66"/>
      <c r="W655" s="67"/>
      <c r="X655" s="68"/>
      <c r="Y655" s="44"/>
      <c r="Z655" s="44"/>
      <c r="AA655" s="44"/>
      <c r="AB655" s="44"/>
      <c r="AC655" s="44"/>
    </row>
    <row r="656" spans="18:29" ht="14.6">
      <c r="R656" s="63"/>
      <c r="S656" s="64"/>
      <c r="T656" s="65"/>
      <c r="U656" s="63"/>
      <c r="V656" s="66"/>
      <c r="W656" s="67"/>
      <c r="X656" s="68"/>
      <c r="Y656" s="44"/>
      <c r="Z656" s="44"/>
      <c r="AA656" s="44"/>
      <c r="AB656" s="44"/>
      <c r="AC656" s="44"/>
    </row>
    <row r="657" spans="18:29" ht="14.6">
      <c r="R657" s="63"/>
      <c r="S657" s="64"/>
      <c r="T657" s="65"/>
      <c r="U657" s="63"/>
      <c r="V657" s="66"/>
      <c r="W657" s="67"/>
      <c r="X657" s="68"/>
      <c r="Y657" s="44"/>
      <c r="Z657" s="44"/>
      <c r="AA657" s="44"/>
      <c r="AB657" s="44"/>
      <c r="AC657" s="44"/>
    </row>
    <row r="658" spans="18:29" ht="14.6">
      <c r="R658" s="63"/>
      <c r="S658" s="64"/>
      <c r="T658" s="65"/>
      <c r="U658" s="63"/>
      <c r="V658" s="66"/>
      <c r="W658" s="67"/>
      <c r="X658" s="68"/>
      <c r="Y658" s="44"/>
      <c r="Z658" s="44"/>
      <c r="AA658" s="44"/>
      <c r="AB658" s="44"/>
      <c r="AC658" s="44"/>
    </row>
    <row r="659" spans="18:29" ht="14.6">
      <c r="R659" s="63"/>
      <c r="S659" s="64"/>
      <c r="T659" s="65"/>
      <c r="U659" s="63"/>
      <c r="V659" s="66"/>
      <c r="W659" s="67"/>
      <c r="X659" s="68"/>
      <c r="Y659" s="44"/>
      <c r="Z659" s="44"/>
      <c r="AA659" s="44"/>
      <c r="AB659" s="44"/>
      <c r="AC659" s="44"/>
    </row>
    <row r="660" spans="18:29" ht="14.6">
      <c r="R660" s="63"/>
      <c r="S660" s="64"/>
      <c r="T660" s="65"/>
      <c r="U660" s="63"/>
      <c r="V660" s="66"/>
      <c r="W660" s="67"/>
      <c r="X660" s="68"/>
      <c r="Y660" s="44"/>
      <c r="Z660" s="44"/>
      <c r="AA660" s="44"/>
      <c r="AB660" s="44"/>
      <c r="AC660" s="44"/>
    </row>
    <row r="661" spans="18:29" ht="14.6">
      <c r="R661" s="63"/>
      <c r="S661" s="64"/>
      <c r="T661" s="65"/>
      <c r="U661" s="63"/>
      <c r="V661" s="66"/>
      <c r="W661" s="67"/>
      <c r="X661" s="68"/>
      <c r="Y661" s="44"/>
      <c r="Z661" s="44"/>
      <c r="AA661" s="44"/>
      <c r="AB661" s="44"/>
      <c r="AC661" s="44"/>
    </row>
    <row r="662" spans="18:29" ht="14.6">
      <c r="R662" s="63"/>
      <c r="S662" s="64"/>
      <c r="T662" s="65"/>
      <c r="U662" s="63"/>
      <c r="V662" s="66"/>
      <c r="W662" s="67"/>
      <c r="X662" s="68"/>
      <c r="Y662" s="44"/>
      <c r="Z662" s="44"/>
      <c r="AA662" s="44"/>
      <c r="AB662" s="44"/>
      <c r="AC662" s="44"/>
    </row>
    <row r="663" spans="18:29" ht="14.6">
      <c r="R663" s="63"/>
      <c r="S663" s="64"/>
      <c r="T663" s="65"/>
      <c r="U663" s="63"/>
      <c r="V663" s="66"/>
      <c r="W663" s="67"/>
      <c r="X663" s="68"/>
      <c r="Y663" s="44"/>
      <c r="Z663" s="44"/>
      <c r="AA663" s="44"/>
      <c r="AB663" s="44"/>
      <c r="AC663" s="44"/>
    </row>
    <row r="664" spans="18:29" ht="14.6">
      <c r="R664" s="63"/>
      <c r="S664" s="64"/>
      <c r="T664" s="65"/>
      <c r="U664" s="63"/>
      <c r="V664" s="66"/>
      <c r="W664" s="67"/>
      <c r="X664" s="68"/>
      <c r="Y664" s="44"/>
      <c r="Z664" s="44"/>
      <c r="AA664" s="44"/>
      <c r="AB664" s="44"/>
      <c r="AC664" s="44"/>
    </row>
    <row r="665" spans="18:29" ht="14.6">
      <c r="R665" s="63"/>
      <c r="S665" s="64"/>
      <c r="T665" s="65"/>
      <c r="U665" s="63"/>
      <c r="V665" s="66"/>
      <c r="W665" s="67"/>
      <c r="X665" s="68"/>
      <c r="Y665" s="44"/>
      <c r="Z665" s="44"/>
      <c r="AA665" s="44"/>
      <c r="AB665" s="44"/>
      <c r="AC665" s="44"/>
    </row>
    <row r="666" spans="18:29" ht="14.6">
      <c r="R666" s="63"/>
      <c r="S666" s="64"/>
      <c r="T666" s="65"/>
      <c r="U666" s="63"/>
      <c r="V666" s="66"/>
      <c r="W666" s="67"/>
      <c r="X666" s="68"/>
      <c r="Y666" s="44"/>
      <c r="Z666" s="44"/>
      <c r="AA666" s="44"/>
      <c r="AB666" s="44"/>
      <c r="AC666" s="44"/>
    </row>
    <row r="667" spans="18:29" ht="14.6">
      <c r="R667" s="63"/>
      <c r="S667" s="64"/>
      <c r="T667" s="65"/>
      <c r="U667" s="63"/>
      <c r="V667" s="66"/>
      <c r="W667" s="67"/>
      <c r="X667" s="68"/>
      <c r="Y667" s="44"/>
      <c r="Z667" s="44"/>
      <c r="AA667" s="44"/>
      <c r="AB667" s="44"/>
      <c r="AC667" s="44"/>
    </row>
    <row r="668" spans="18:29" ht="14.6">
      <c r="R668" s="63"/>
      <c r="S668" s="64"/>
      <c r="T668" s="65"/>
      <c r="U668" s="63"/>
      <c r="V668" s="66"/>
      <c r="W668" s="67"/>
      <c r="X668" s="68"/>
      <c r="Y668" s="44"/>
      <c r="Z668" s="44"/>
      <c r="AA668" s="44"/>
      <c r="AB668" s="44"/>
      <c r="AC668" s="44"/>
    </row>
    <row r="669" spans="18:29" ht="14.6">
      <c r="R669" s="63"/>
      <c r="S669" s="64"/>
      <c r="T669" s="65"/>
      <c r="U669" s="63"/>
      <c r="V669" s="66"/>
      <c r="W669" s="67"/>
      <c r="X669" s="68"/>
      <c r="Y669" s="44"/>
      <c r="Z669" s="44"/>
      <c r="AA669" s="44"/>
      <c r="AB669" s="44"/>
      <c r="AC669" s="44"/>
    </row>
    <row r="670" spans="18:29" ht="14.6">
      <c r="R670" s="63"/>
      <c r="S670" s="64"/>
      <c r="T670" s="65"/>
      <c r="U670" s="63"/>
      <c r="V670" s="66"/>
      <c r="W670" s="67"/>
      <c r="X670" s="68"/>
      <c r="Y670" s="44"/>
      <c r="Z670" s="44"/>
      <c r="AA670" s="44"/>
      <c r="AB670" s="44"/>
      <c r="AC670" s="44"/>
    </row>
    <row r="671" spans="18:29" ht="14.6">
      <c r="R671" s="63"/>
      <c r="S671" s="64"/>
      <c r="T671" s="65"/>
      <c r="U671" s="63"/>
      <c r="V671" s="66"/>
      <c r="W671" s="67"/>
      <c r="X671" s="68"/>
      <c r="Y671" s="44"/>
      <c r="Z671" s="44"/>
      <c r="AA671" s="44"/>
      <c r="AB671" s="44"/>
      <c r="AC671" s="44"/>
    </row>
    <row r="672" spans="18:29" ht="14.6">
      <c r="R672" s="63"/>
      <c r="S672" s="64"/>
      <c r="T672" s="65"/>
      <c r="U672" s="63"/>
      <c r="V672" s="66"/>
      <c r="W672" s="67"/>
      <c r="X672" s="68"/>
      <c r="Y672" s="44"/>
      <c r="Z672" s="44"/>
      <c r="AA672" s="44"/>
      <c r="AB672" s="44"/>
      <c r="AC672" s="44"/>
    </row>
    <row r="673" spans="18:29" ht="14.6">
      <c r="R673" s="63"/>
      <c r="S673" s="64"/>
      <c r="T673" s="65"/>
      <c r="U673" s="63"/>
      <c r="V673" s="66"/>
      <c r="W673" s="67"/>
      <c r="X673" s="68"/>
      <c r="Y673" s="44"/>
      <c r="Z673" s="44"/>
      <c r="AA673" s="44"/>
      <c r="AB673" s="44"/>
      <c r="AC673" s="44"/>
    </row>
    <row r="674" spans="18:29" ht="14.6">
      <c r="R674" s="63"/>
      <c r="S674" s="64"/>
      <c r="T674" s="65"/>
      <c r="U674" s="63"/>
      <c r="V674" s="66"/>
      <c r="W674" s="67"/>
      <c r="X674" s="68"/>
      <c r="Y674" s="44"/>
      <c r="Z674" s="44"/>
      <c r="AA674" s="44"/>
      <c r="AB674" s="44"/>
      <c r="AC674" s="44"/>
    </row>
    <row r="675" spans="18:29" ht="14.6">
      <c r="R675" s="63"/>
      <c r="S675" s="64"/>
      <c r="T675" s="65"/>
      <c r="U675" s="63"/>
      <c r="V675" s="66"/>
      <c r="W675" s="67"/>
      <c r="X675" s="68"/>
      <c r="Y675" s="44"/>
      <c r="Z675" s="44"/>
      <c r="AA675" s="44"/>
      <c r="AB675" s="44"/>
      <c r="AC675" s="44"/>
    </row>
    <row r="676" spans="18:29" ht="14.6">
      <c r="R676" s="63"/>
      <c r="S676" s="64"/>
      <c r="T676" s="65"/>
      <c r="U676" s="63"/>
      <c r="V676" s="66"/>
      <c r="W676" s="67"/>
      <c r="X676" s="68"/>
      <c r="Y676" s="44"/>
      <c r="Z676" s="44"/>
      <c r="AA676" s="44"/>
      <c r="AB676" s="44"/>
      <c r="AC676" s="44"/>
    </row>
    <row r="677" spans="18:29" ht="14.6">
      <c r="R677" s="63"/>
      <c r="S677" s="64"/>
      <c r="T677" s="65"/>
      <c r="U677" s="63"/>
      <c r="V677" s="66"/>
      <c r="W677" s="67"/>
      <c r="X677" s="68"/>
      <c r="Y677" s="44"/>
      <c r="Z677" s="44"/>
      <c r="AA677" s="44"/>
      <c r="AB677" s="44"/>
      <c r="AC677" s="44"/>
    </row>
    <row r="678" spans="18:29" ht="14.6">
      <c r="R678" s="63"/>
      <c r="S678" s="64"/>
      <c r="T678" s="65"/>
      <c r="U678" s="63"/>
      <c r="V678" s="66"/>
      <c r="W678" s="67"/>
      <c r="X678" s="68"/>
      <c r="Y678" s="44"/>
      <c r="Z678" s="44"/>
      <c r="AA678" s="44"/>
      <c r="AB678" s="44"/>
      <c r="AC678" s="44"/>
    </row>
    <row r="679" spans="18:29" ht="14.6">
      <c r="R679" s="63"/>
      <c r="S679" s="64"/>
      <c r="T679" s="65"/>
      <c r="U679" s="63"/>
      <c r="V679" s="66"/>
      <c r="W679" s="67"/>
      <c r="X679" s="68"/>
      <c r="Y679" s="44"/>
      <c r="Z679" s="44"/>
      <c r="AA679" s="44"/>
      <c r="AB679" s="44"/>
      <c r="AC679" s="44"/>
    </row>
    <row r="680" spans="18:29" ht="14.6">
      <c r="R680" s="63"/>
      <c r="S680" s="64"/>
      <c r="T680" s="65"/>
      <c r="U680" s="63"/>
      <c r="V680" s="66"/>
      <c r="W680" s="67"/>
      <c r="X680" s="68"/>
      <c r="Y680" s="44"/>
      <c r="Z680" s="44"/>
      <c r="AA680" s="44"/>
      <c r="AB680" s="44"/>
      <c r="AC680" s="44"/>
    </row>
    <row r="681" spans="18:29" ht="14.6">
      <c r="R681" s="63"/>
      <c r="S681" s="64"/>
      <c r="T681" s="65"/>
      <c r="U681" s="63"/>
      <c r="V681" s="66"/>
      <c r="W681" s="67"/>
      <c r="X681" s="68"/>
      <c r="Y681" s="44"/>
      <c r="Z681" s="44"/>
      <c r="AA681" s="44"/>
      <c r="AB681" s="44"/>
      <c r="AC681" s="44"/>
    </row>
    <row r="682" spans="18:29" ht="14.6">
      <c r="R682" s="63"/>
      <c r="S682" s="64"/>
      <c r="T682" s="65"/>
      <c r="U682" s="63"/>
      <c r="V682" s="66"/>
      <c r="W682" s="67"/>
      <c r="X682" s="68"/>
      <c r="Y682" s="44"/>
      <c r="Z682" s="44"/>
      <c r="AA682" s="44"/>
      <c r="AB682" s="44"/>
      <c r="AC682" s="44"/>
    </row>
    <row r="683" spans="18:29" ht="14.6">
      <c r="R683" s="63"/>
      <c r="S683" s="64"/>
      <c r="T683" s="65"/>
      <c r="U683" s="63"/>
      <c r="V683" s="66"/>
      <c r="W683" s="67"/>
      <c r="X683" s="68"/>
      <c r="Y683" s="44"/>
      <c r="Z683" s="44"/>
      <c r="AA683" s="44"/>
      <c r="AB683" s="44"/>
      <c r="AC683" s="44"/>
    </row>
    <row r="684" spans="18:29" ht="14.6">
      <c r="R684" s="63"/>
      <c r="S684" s="64"/>
      <c r="T684" s="65"/>
      <c r="U684" s="63"/>
      <c r="V684" s="66"/>
      <c r="W684" s="67"/>
      <c r="X684" s="68"/>
      <c r="Y684" s="44"/>
      <c r="Z684" s="44"/>
      <c r="AA684" s="44"/>
      <c r="AB684" s="44"/>
      <c r="AC684" s="44"/>
    </row>
    <row r="685" spans="18:29" ht="14.6">
      <c r="R685" s="63"/>
      <c r="S685" s="64"/>
      <c r="T685" s="65"/>
      <c r="U685" s="63"/>
      <c r="V685" s="66"/>
      <c r="W685" s="67"/>
      <c r="X685" s="68"/>
      <c r="Y685" s="44"/>
      <c r="Z685" s="44"/>
      <c r="AA685" s="44"/>
      <c r="AB685" s="44"/>
      <c r="AC685" s="44"/>
    </row>
    <row r="686" spans="18:29" ht="14.6">
      <c r="R686" s="63"/>
      <c r="S686" s="64"/>
      <c r="T686" s="65"/>
      <c r="U686" s="63"/>
      <c r="V686" s="66"/>
      <c r="W686" s="67"/>
      <c r="X686" s="68"/>
      <c r="Y686" s="44"/>
      <c r="Z686" s="44"/>
      <c r="AA686" s="44"/>
      <c r="AB686" s="44"/>
      <c r="AC686" s="44"/>
    </row>
    <row r="687" spans="18:29" ht="14.6">
      <c r="R687" s="63"/>
      <c r="S687" s="64"/>
      <c r="T687" s="65"/>
      <c r="U687" s="63"/>
      <c r="V687" s="66"/>
      <c r="W687" s="67"/>
      <c r="X687" s="68"/>
      <c r="Y687" s="44"/>
      <c r="Z687" s="44"/>
      <c r="AA687" s="44"/>
      <c r="AB687" s="44"/>
      <c r="AC687" s="44"/>
    </row>
    <row r="688" spans="18:29" ht="14.6">
      <c r="R688" s="63"/>
      <c r="S688" s="64"/>
      <c r="T688" s="65"/>
      <c r="U688" s="63"/>
      <c r="V688" s="66"/>
      <c r="W688" s="67"/>
      <c r="X688" s="68"/>
      <c r="Y688" s="44"/>
      <c r="Z688" s="44"/>
      <c r="AA688" s="44"/>
      <c r="AB688" s="44"/>
      <c r="AC688" s="44"/>
    </row>
    <row r="689" spans="18:29" ht="14.6">
      <c r="R689" s="63"/>
      <c r="S689" s="64"/>
      <c r="T689" s="65"/>
      <c r="U689" s="63"/>
      <c r="V689" s="66"/>
      <c r="W689" s="67"/>
      <c r="X689" s="68"/>
      <c r="Y689" s="44"/>
      <c r="Z689" s="44"/>
      <c r="AA689" s="44"/>
      <c r="AB689" s="44"/>
      <c r="AC689" s="44"/>
    </row>
    <row r="690" spans="18:29" ht="14.6">
      <c r="R690" s="63"/>
      <c r="S690" s="64"/>
      <c r="T690" s="65"/>
      <c r="U690" s="63"/>
      <c r="V690" s="66"/>
      <c r="W690" s="67"/>
      <c r="X690" s="68"/>
      <c r="Y690" s="44"/>
      <c r="Z690" s="44"/>
      <c r="AA690" s="44"/>
      <c r="AB690" s="44"/>
      <c r="AC690" s="44"/>
    </row>
    <row r="691" spans="18:29" ht="14.6">
      <c r="R691" s="63"/>
      <c r="S691" s="64"/>
      <c r="T691" s="65"/>
      <c r="U691" s="63"/>
      <c r="V691" s="66"/>
      <c r="W691" s="67"/>
      <c r="X691" s="68"/>
      <c r="Y691" s="44"/>
      <c r="Z691" s="44"/>
      <c r="AA691" s="44"/>
      <c r="AB691" s="44"/>
      <c r="AC691" s="44"/>
    </row>
    <row r="692" spans="18:29" ht="14.6">
      <c r="R692" s="63"/>
      <c r="S692" s="64"/>
      <c r="T692" s="65"/>
      <c r="U692" s="63"/>
      <c r="V692" s="66"/>
      <c r="W692" s="67"/>
      <c r="X692" s="68"/>
      <c r="Y692" s="44"/>
      <c r="Z692" s="44"/>
      <c r="AA692" s="44"/>
      <c r="AB692" s="44"/>
      <c r="AC692" s="44"/>
    </row>
    <row r="693" spans="18:29" ht="14.6">
      <c r="R693" s="63"/>
      <c r="S693" s="64"/>
      <c r="T693" s="65"/>
      <c r="U693" s="63"/>
      <c r="V693" s="66"/>
      <c r="W693" s="67"/>
      <c r="X693" s="68"/>
      <c r="Y693" s="44"/>
      <c r="Z693" s="44"/>
      <c r="AA693" s="44"/>
      <c r="AB693" s="44"/>
      <c r="AC693" s="44"/>
    </row>
    <row r="694" spans="18:29" ht="14.6">
      <c r="R694" s="63"/>
      <c r="S694" s="64"/>
      <c r="T694" s="65"/>
      <c r="U694" s="63"/>
      <c r="V694" s="66"/>
      <c r="W694" s="67"/>
      <c r="X694" s="68"/>
      <c r="Y694" s="44"/>
      <c r="Z694" s="44"/>
      <c r="AA694" s="44"/>
      <c r="AB694" s="44"/>
      <c r="AC694" s="44"/>
    </row>
    <row r="695" spans="18:29" ht="14.6">
      <c r="R695" s="63"/>
      <c r="S695" s="64"/>
      <c r="T695" s="65"/>
      <c r="U695" s="63"/>
      <c r="V695" s="66"/>
      <c r="W695" s="67"/>
      <c r="X695" s="68"/>
      <c r="Y695" s="44"/>
      <c r="Z695" s="44"/>
      <c r="AA695" s="44"/>
      <c r="AB695" s="44"/>
      <c r="AC695" s="44"/>
    </row>
    <row r="696" spans="18:29" ht="14.6">
      <c r="R696" s="63"/>
      <c r="S696" s="64"/>
      <c r="T696" s="65"/>
      <c r="U696" s="63"/>
      <c r="V696" s="66"/>
      <c r="W696" s="67"/>
      <c r="X696" s="68"/>
      <c r="Y696" s="44"/>
      <c r="Z696" s="44"/>
      <c r="AA696" s="44"/>
      <c r="AB696" s="44"/>
      <c r="AC696" s="44"/>
    </row>
    <row r="697" spans="18:29" ht="14.6">
      <c r="R697" s="63"/>
      <c r="S697" s="64"/>
      <c r="T697" s="65"/>
      <c r="U697" s="63"/>
      <c r="V697" s="66"/>
      <c r="W697" s="67"/>
      <c r="X697" s="68"/>
      <c r="Y697" s="44"/>
      <c r="Z697" s="44"/>
      <c r="AA697" s="44"/>
      <c r="AB697" s="44"/>
      <c r="AC697" s="44"/>
    </row>
    <row r="698" spans="18:29" ht="14.6">
      <c r="R698" s="63"/>
      <c r="S698" s="64"/>
      <c r="T698" s="65"/>
      <c r="U698" s="63"/>
      <c r="V698" s="66"/>
      <c r="W698" s="67"/>
      <c r="X698" s="68"/>
      <c r="Y698" s="44"/>
      <c r="Z698" s="44"/>
      <c r="AA698" s="44"/>
      <c r="AB698" s="44"/>
      <c r="AC698" s="44"/>
    </row>
    <row r="699" spans="18:29" ht="14.6">
      <c r="R699" s="63"/>
      <c r="S699" s="64"/>
      <c r="T699" s="65"/>
      <c r="U699" s="63"/>
      <c r="V699" s="66"/>
      <c r="W699" s="67"/>
      <c r="X699" s="68"/>
      <c r="Y699" s="44"/>
      <c r="Z699" s="44"/>
      <c r="AA699" s="44"/>
      <c r="AB699" s="44"/>
      <c r="AC699" s="44"/>
    </row>
    <row r="700" spans="18:29" ht="14.6">
      <c r="R700" s="63"/>
      <c r="S700" s="64"/>
      <c r="T700" s="65"/>
      <c r="U700" s="63"/>
      <c r="V700" s="66"/>
      <c r="W700" s="67"/>
      <c r="X700" s="68"/>
      <c r="Y700" s="44"/>
      <c r="Z700" s="44"/>
      <c r="AA700" s="44"/>
      <c r="AB700" s="44"/>
      <c r="AC700" s="44"/>
    </row>
    <row r="701" spans="18:29" ht="14.6">
      <c r="R701" s="63"/>
      <c r="S701" s="64"/>
      <c r="T701" s="65"/>
      <c r="U701" s="63"/>
      <c r="V701" s="66"/>
      <c r="W701" s="67"/>
      <c r="X701" s="68"/>
      <c r="Y701" s="44"/>
      <c r="Z701" s="44"/>
      <c r="AA701" s="44"/>
      <c r="AB701" s="44"/>
      <c r="AC701" s="44"/>
    </row>
    <row r="702" spans="18:29" ht="14.6">
      <c r="R702" s="63"/>
      <c r="S702" s="64"/>
      <c r="T702" s="65"/>
      <c r="U702" s="63"/>
      <c r="V702" s="66"/>
      <c r="W702" s="67"/>
      <c r="X702" s="68"/>
      <c r="Y702" s="44"/>
      <c r="Z702" s="44"/>
      <c r="AA702" s="44"/>
      <c r="AB702" s="44"/>
      <c r="AC702" s="44"/>
    </row>
    <row r="703" spans="18:29" ht="14.6">
      <c r="R703" s="63"/>
      <c r="S703" s="64"/>
      <c r="T703" s="65"/>
      <c r="U703" s="63"/>
      <c r="V703" s="66"/>
      <c r="W703" s="67"/>
      <c r="X703" s="68"/>
      <c r="Y703" s="44"/>
      <c r="Z703" s="44"/>
      <c r="AA703" s="44"/>
      <c r="AB703" s="44"/>
      <c r="AC703" s="44"/>
    </row>
    <row r="704" spans="18:29" ht="14.6">
      <c r="R704" s="63"/>
      <c r="S704" s="64"/>
      <c r="T704" s="65"/>
      <c r="U704" s="63"/>
      <c r="V704" s="66"/>
      <c r="W704" s="67"/>
      <c r="X704" s="68"/>
      <c r="Y704" s="44"/>
      <c r="Z704" s="44"/>
      <c r="AA704" s="44"/>
      <c r="AB704" s="44"/>
      <c r="AC704" s="44"/>
    </row>
    <row r="705" spans="18:29" ht="14.6">
      <c r="R705" s="63"/>
      <c r="S705" s="64"/>
      <c r="T705" s="65"/>
      <c r="U705" s="63"/>
      <c r="V705" s="66"/>
      <c r="W705" s="67"/>
      <c r="X705" s="68"/>
      <c r="Y705" s="44"/>
      <c r="Z705" s="44"/>
      <c r="AA705" s="44"/>
      <c r="AB705" s="44"/>
      <c r="AC705" s="44"/>
    </row>
    <row r="706" spans="18:29" ht="14.6">
      <c r="R706" s="63"/>
      <c r="S706" s="64"/>
      <c r="T706" s="65"/>
      <c r="U706" s="63"/>
      <c r="V706" s="66"/>
      <c r="W706" s="67"/>
      <c r="X706" s="68"/>
      <c r="Y706" s="44"/>
      <c r="Z706" s="44"/>
      <c r="AA706" s="44"/>
      <c r="AB706" s="44"/>
      <c r="AC706" s="44"/>
    </row>
    <row r="707" spans="18:29" ht="14.6">
      <c r="R707" s="63"/>
      <c r="S707" s="64"/>
      <c r="T707" s="65"/>
      <c r="U707" s="63"/>
      <c r="V707" s="66"/>
      <c r="W707" s="67"/>
      <c r="X707" s="68"/>
      <c r="Y707" s="44"/>
      <c r="Z707" s="44"/>
      <c r="AA707" s="44"/>
      <c r="AB707" s="44"/>
      <c r="AC707" s="44"/>
    </row>
    <row r="708" spans="18:29" ht="14.6">
      <c r="R708" s="63"/>
      <c r="S708" s="64"/>
      <c r="T708" s="65"/>
      <c r="U708" s="63"/>
      <c r="V708" s="66"/>
      <c r="W708" s="67"/>
      <c r="X708" s="68"/>
      <c r="Y708" s="44"/>
      <c r="Z708" s="44"/>
      <c r="AA708" s="44"/>
      <c r="AB708" s="44"/>
      <c r="AC708" s="44"/>
    </row>
    <row r="709" spans="18:29" ht="14.6">
      <c r="R709" s="63"/>
      <c r="S709" s="64"/>
      <c r="T709" s="65"/>
      <c r="U709" s="63"/>
      <c r="V709" s="66"/>
      <c r="W709" s="67"/>
      <c r="X709" s="68"/>
      <c r="Y709" s="44"/>
      <c r="Z709" s="44"/>
      <c r="AA709" s="44"/>
      <c r="AB709" s="44"/>
      <c r="AC709" s="44"/>
    </row>
    <row r="710" spans="18:29" ht="14.6">
      <c r="R710" s="63"/>
      <c r="S710" s="64"/>
      <c r="T710" s="65"/>
      <c r="U710" s="63"/>
      <c r="V710" s="66"/>
      <c r="W710" s="67"/>
      <c r="X710" s="68"/>
      <c r="Y710" s="44"/>
      <c r="Z710" s="44"/>
      <c r="AA710" s="44"/>
      <c r="AB710" s="44"/>
      <c r="AC710" s="44"/>
    </row>
    <row r="711" spans="18:29" ht="14.6">
      <c r="R711" s="63"/>
      <c r="S711" s="64"/>
      <c r="T711" s="65"/>
      <c r="U711" s="63"/>
      <c r="V711" s="66"/>
      <c r="W711" s="67"/>
      <c r="X711" s="68"/>
      <c r="Y711" s="44"/>
      <c r="Z711" s="44"/>
      <c r="AA711" s="44"/>
      <c r="AB711" s="44"/>
      <c r="AC711" s="44"/>
    </row>
    <row r="712" spans="18:29" ht="14.6">
      <c r="R712" s="63"/>
      <c r="S712" s="64"/>
      <c r="T712" s="65"/>
      <c r="U712" s="63"/>
      <c r="V712" s="66"/>
      <c r="W712" s="67"/>
      <c r="X712" s="68"/>
      <c r="Y712" s="44"/>
      <c r="Z712" s="44"/>
      <c r="AA712" s="44"/>
      <c r="AB712" s="44"/>
      <c r="AC712" s="44"/>
    </row>
    <row r="713" spans="18:29" ht="14.6">
      <c r="R713" s="63"/>
      <c r="S713" s="64"/>
      <c r="T713" s="65"/>
      <c r="U713" s="63"/>
      <c r="V713" s="66"/>
      <c r="W713" s="67"/>
      <c r="X713" s="68"/>
      <c r="Y713" s="44"/>
      <c r="Z713" s="44"/>
      <c r="AA713" s="44"/>
      <c r="AB713" s="44"/>
      <c r="AC713" s="44"/>
    </row>
    <row r="714" spans="18:29" ht="14.6">
      <c r="R714" s="63"/>
      <c r="S714" s="64"/>
      <c r="T714" s="65"/>
      <c r="U714" s="63"/>
      <c r="V714" s="66"/>
      <c r="W714" s="67"/>
      <c r="X714" s="68"/>
      <c r="Y714" s="44"/>
      <c r="Z714" s="44"/>
      <c r="AA714" s="44"/>
      <c r="AB714" s="44"/>
      <c r="AC714" s="44"/>
    </row>
    <row r="715" spans="18:29" ht="14.6">
      <c r="R715" s="63"/>
      <c r="S715" s="64"/>
      <c r="T715" s="65"/>
      <c r="U715" s="63"/>
      <c r="V715" s="66"/>
      <c r="W715" s="67"/>
      <c r="X715" s="68"/>
      <c r="Y715" s="44"/>
      <c r="Z715" s="44"/>
      <c r="AA715" s="44"/>
      <c r="AB715" s="44"/>
      <c r="AC715" s="44"/>
    </row>
    <row r="716" spans="18:29" ht="14.6">
      <c r="R716" s="63"/>
      <c r="S716" s="64"/>
      <c r="T716" s="65"/>
      <c r="U716" s="63"/>
      <c r="V716" s="66"/>
      <c r="W716" s="67"/>
      <c r="X716" s="68"/>
      <c r="Y716" s="44"/>
      <c r="Z716" s="44"/>
      <c r="AA716" s="44"/>
      <c r="AB716" s="44"/>
      <c r="AC716" s="44"/>
    </row>
    <row r="717" spans="18:29" ht="14.6">
      <c r="R717" s="63"/>
      <c r="S717" s="64"/>
      <c r="T717" s="65"/>
      <c r="U717" s="63"/>
      <c r="V717" s="66"/>
      <c r="W717" s="67"/>
      <c r="X717" s="68"/>
      <c r="Y717" s="44"/>
      <c r="Z717" s="44"/>
      <c r="AA717" s="44"/>
      <c r="AB717" s="44"/>
      <c r="AC717" s="44"/>
    </row>
    <row r="718" spans="18:29" ht="14.6">
      <c r="R718" s="63"/>
      <c r="S718" s="64"/>
      <c r="T718" s="65"/>
      <c r="U718" s="63"/>
      <c r="V718" s="66"/>
      <c r="W718" s="67"/>
      <c r="X718" s="68"/>
      <c r="Y718" s="44"/>
      <c r="Z718" s="44"/>
      <c r="AA718" s="44"/>
      <c r="AB718" s="44"/>
      <c r="AC718" s="44"/>
    </row>
    <row r="719" spans="18:29" ht="14.6">
      <c r="R719" s="63"/>
      <c r="S719" s="64"/>
      <c r="T719" s="65"/>
      <c r="U719" s="63"/>
      <c r="V719" s="66"/>
      <c r="W719" s="67"/>
      <c r="X719" s="68"/>
      <c r="Y719" s="44"/>
      <c r="Z719" s="44"/>
      <c r="AA719" s="44"/>
      <c r="AB719" s="44"/>
      <c r="AC719" s="44"/>
    </row>
    <row r="720" spans="18:29" ht="14.6">
      <c r="R720" s="63"/>
      <c r="S720" s="64"/>
      <c r="T720" s="65"/>
      <c r="U720" s="63"/>
      <c r="V720" s="66"/>
      <c r="W720" s="67"/>
      <c r="X720" s="68"/>
      <c r="Y720" s="44"/>
      <c r="Z720" s="44"/>
      <c r="AA720" s="44"/>
      <c r="AB720" s="44"/>
      <c r="AC720" s="44"/>
    </row>
    <row r="721" spans="18:34" ht="14.6">
      <c r="R721" s="63"/>
      <c r="S721" s="64"/>
      <c r="T721" s="65"/>
      <c r="U721" s="63"/>
      <c r="V721" s="66"/>
      <c r="W721" s="67"/>
      <c r="X721" s="68"/>
      <c r="Y721" s="44"/>
      <c r="Z721" s="44"/>
      <c r="AA721" s="44"/>
      <c r="AB721" s="44"/>
      <c r="AC721" s="44"/>
    </row>
    <row r="722" spans="18:34" ht="14.6">
      <c r="R722" s="63"/>
      <c r="S722" s="64"/>
      <c r="T722" s="65"/>
      <c r="U722" s="63"/>
      <c r="V722" s="66"/>
      <c r="W722" s="67"/>
      <c r="X722" s="68"/>
      <c r="Y722" s="44"/>
      <c r="Z722" s="44"/>
      <c r="AA722" s="44"/>
      <c r="AB722" s="44"/>
      <c r="AC722" s="44"/>
    </row>
    <row r="723" spans="18:34" ht="14.6">
      <c r="R723" s="63"/>
      <c r="S723" s="64"/>
      <c r="T723" s="65"/>
      <c r="U723" s="63"/>
      <c r="V723" s="66"/>
      <c r="W723" s="67"/>
      <c r="X723" s="68"/>
      <c r="Y723" s="44"/>
      <c r="Z723" s="44"/>
      <c r="AA723" s="44"/>
      <c r="AB723" s="44"/>
      <c r="AC723" s="44"/>
    </row>
    <row r="724" spans="18:34" ht="14.6">
      <c r="R724" s="63"/>
      <c r="S724" s="64"/>
      <c r="T724" s="65"/>
      <c r="U724" s="63"/>
      <c r="V724" s="66"/>
      <c r="W724" s="67"/>
      <c r="X724" s="68"/>
      <c r="Y724" s="44"/>
      <c r="Z724" s="44"/>
      <c r="AA724" s="44"/>
      <c r="AB724" s="44"/>
      <c r="AC724" s="44"/>
    </row>
    <row r="725" spans="18:34" ht="14.6">
      <c r="R725" s="63"/>
      <c r="S725" s="64"/>
      <c r="T725" s="65"/>
      <c r="U725" s="63"/>
      <c r="V725" s="66"/>
      <c r="W725" s="67"/>
      <c r="X725" s="68"/>
      <c r="Y725" s="44"/>
      <c r="Z725" s="44"/>
      <c r="AA725" s="44"/>
      <c r="AB725" s="44"/>
      <c r="AC725" s="44"/>
    </row>
    <row r="726" spans="18:34" ht="14.6">
      <c r="R726" s="63"/>
      <c r="S726" s="64"/>
      <c r="T726" s="65"/>
      <c r="U726" s="63"/>
      <c r="V726" s="66"/>
      <c r="W726" s="67"/>
      <c r="X726" s="68"/>
      <c r="Y726" s="44"/>
      <c r="Z726" s="44"/>
      <c r="AA726" s="44"/>
      <c r="AB726" s="44"/>
      <c r="AC726" s="44"/>
    </row>
    <row r="727" spans="18:34" ht="14.6">
      <c r="R727" s="63"/>
      <c r="S727" s="64"/>
      <c r="T727" s="65"/>
      <c r="U727" s="63"/>
      <c r="V727" s="66"/>
      <c r="W727" s="67"/>
      <c r="X727" s="68"/>
      <c r="Y727" s="44"/>
      <c r="Z727" s="44"/>
      <c r="AA727" s="44"/>
      <c r="AB727" s="44"/>
      <c r="AC727" s="44"/>
    </row>
    <row r="728" spans="18:34" ht="14.6">
      <c r="R728" s="63"/>
      <c r="S728" s="64"/>
      <c r="T728" s="65"/>
      <c r="U728" s="63"/>
      <c r="V728" s="66"/>
      <c r="W728" s="67"/>
      <c r="X728" s="68"/>
      <c r="Y728" s="44"/>
      <c r="Z728" s="44"/>
      <c r="AA728" s="44"/>
      <c r="AB728" s="44"/>
      <c r="AC728" s="44"/>
    </row>
    <row r="729" spans="18:34" ht="14.6">
      <c r="R729" s="63"/>
      <c r="S729" s="64"/>
      <c r="T729" s="65"/>
      <c r="U729" s="63"/>
      <c r="V729" s="66"/>
      <c r="W729" s="67"/>
      <c r="X729" s="68"/>
      <c r="Y729" s="44"/>
      <c r="Z729" s="44"/>
      <c r="AA729" s="44"/>
      <c r="AB729" s="44"/>
      <c r="AC729" s="44"/>
    </row>
    <row r="730" spans="18:34" ht="14.6">
      <c r="R730" s="63"/>
      <c r="S730" s="64"/>
      <c r="T730" s="65"/>
      <c r="U730" s="63"/>
      <c r="V730" s="66"/>
      <c r="W730" s="67"/>
      <c r="X730" s="68"/>
      <c r="Y730" s="44"/>
      <c r="Z730" s="44"/>
      <c r="AA730" s="44"/>
      <c r="AB730" s="44"/>
      <c r="AC730" s="44"/>
    </row>
    <row r="731" spans="18:34" ht="14.6">
      <c r="R731" s="63"/>
      <c r="S731" s="64"/>
      <c r="T731" s="65"/>
      <c r="U731" s="63"/>
      <c r="V731" s="66"/>
      <c r="W731" s="67"/>
      <c r="X731" s="68"/>
      <c r="Y731" s="44"/>
      <c r="Z731" s="44"/>
      <c r="AA731" s="44"/>
      <c r="AB731" s="44"/>
      <c r="AC731" s="44"/>
    </row>
    <row r="732" spans="18:34" ht="14.6">
      <c r="R732" s="63"/>
      <c r="S732" s="64"/>
      <c r="T732" s="65"/>
      <c r="U732" s="63"/>
      <c r="V732" s="66"/>
      <c r="W732" s="67"/>
      <c r="X732" s="68"/>
      <c r="Y732" s="44"/>
      <c r="Z732" s="44"/>
      <c r="AA732" s="44"/>
      <c r="AB732" s="44"/>
      <c r="AC732" s="44"/>
    </row>
    <row r="733" spans="18:34" ht="14.6">
      <c r="R733" s="63"/>
      <c r="S733" s="64"/>
      <c r="T733" s="65"/>
      <c r="U733" s="63"/>
      <c r="V733" s="66"/>
      <c r="W733" s="67"/>
      <c r="X733" s="68"/>
      <c r="Y733" s="44"/>
      <c r="Z733" s="44"/>
      <c r="AA733" s="44"/>
      <c r="AB733" s="44"/>
      <c r="AC733" s="44"/>
      <c r="AD733" s="30"/>
      <c r="AE733" s="78"/>
      <c r="AG733" s="79" t="s">
        <v>106</v>
      </c>
      <c r="AH733" s="79" t="s">
        <v>107</v>
      </c>
    </row>
    <row r="734" spans="18:34" ht="14.6">
      <c r="R734" s="63"/>
      <c r="S734" s="64"/>
      <c r="T734" s="65"/>
      <c r="U734" s="63"/>
      <c r="V734" s="66"/>
      <c r="W734" s="67"/>
      <c r="X734" s="68"/>
      <c r="Y734" s="44"/>
      <c r="Z734" s="44"/>
      <c r="AA734" s="44"/>
      <c r="AB734" s="44"/>
      <c r="AC734" s="44"/>
      <c r="AD734" s="48"/>
      <c r="AE734" s="80"/>
      <c r="AF734" s="81"/>
      <c r="AG734" s="81"/>
      <c r="AH734" s="81"/>
    </row>
    <row r="735" spans="18:34" ht="14.6">
      <c r="R735" s="63"/>
      <c r="S735" s="64"/>
      <c r="T735" s="65"/>
      <c r="U735" s="63"/>
      <c r="V735" s="66"/>
      <c r="W735" s="67"/>
      <c r="X735" s="68"/>
      <c r="Y735" s="44"/>
      <c r="Z735" s="44"/>
      <c r="AA735" s="44"/>
      <c r="AB735" s="44"/>
      <c r="AC735" s="44"/>
      <c r="AD735" s="48"/>
      <c r="AE735" s="80"/>
      <c r="AF735" s="81"/>
      <c r="AG735" s="82">
        <f>0.05</f>
        <v>0.05</v>
      </c>
      <c r="AH735" s="82">
        <f t="shared" ref="AH735:AH744" si="22">+AG735*1000</f>
        <v>50</v>
      </c>
    </row>
    <row r="736" spans="18:34" ht="14.6">
      <c r="R736" s="63"/>
      <c r="S736" s="64"/>
      <c r="T736" s="65"/>
      <c r="U736" s="63"/>
      <c r="V736" s="66"/>
      <c r="W736" s="67"/>
      <c r="X736" s="68"/>
      <c r="Y736" s="44"/>
      <c r="Z736" s="44"/>
      <c r="AA736" s="44"/>
      <c r="AB736" s="44"/>
      <c r="AC736" s="44"/>
      <c r="AD736" s="48"/>
      <c r="AE736" s="80"/>
      <c r="AF736" s="81"/>
      <c r="AG736" s="82">
        <v>0.01</v>
      </c>
      <c r="AH736" s="82">
        <f t="shared" si="22"/>
        <v>10</v>
      </c>
    </row>
    <row r="737" spans="18:34" ht="14.6">
      <c r="R737" s="63"/>
      <c r="S737" s="64"/>
      <c r="T737" s="65"/>
      <c r="U737" s="63"/>
      <c r="V737" s="66"/>
      <c r="W737" s="67"/>
      <c r="X737" s="68"/>
      <c r="Y737" s="44"/>
      <c r="Z737" s="44"/>
      <c r="AA737" s="44"/>
      <c r="AB737" s="44"/>
      <c r="AC737" s="44"/>
      <c r="AD737" s="48"/>
      <c r="AE737" s="83"/>
      <c r="AF737" s="81"/>
      <c r="AG737" s="81">
        <v>0.9</v>
      </c>
      <c r="AH737" s="82">
        <f t="shared" si="22"/>
        <v>900</v>
      </c>
    </row>
    <row r="738" spans="18:34" ht="14.6">
      <c r="R738" s="63"/>
      <c r="S738" s="64"/>
      <c r="T738" s="65"/>
      <c r="U738" s="63"/>
      <c r="V738" s="66"/>
      <c r="W738" s="67"/>
      <c r="X738" s="68"/>
      <c r="Y738" s="44"/>
      <c r="Z738" s="44"/>
      <c r="AA738" s="44"/>
      <c r="AB738" s="44"/>
      <c r="AC738" s="44"/>
      <c r="AD738" s="48"/>
      <c r="AE738" s="80"/>
      <c r="AF738" s="81"/>
      <c r="AG738" s="81"/>
      <c r="AH738" s="82">
        <f t="shared" si="22"/>
        <v>0</v>
      </c>
    </row>
    <row r="739" spans="18:34" ht="14.6">
      <c r="R739" s="63"/>
      <c r="S739" s="64"/>
      <c r="T739" s="65"/>
      <c r="U739" s="63"/>
      <c r="V739" s="66"/>
      <c r="W739" s="67"/>
      <c r="X739" s="68"/>
      <c r="Y739" s="44"/>
      <c r="Z739" s="44"/>
      <c r="AA739" s="44"/>
      <c r="AB739" s="44"/>
      <c r="AC739" s="44"/>
      <c r="AD739" s="48"/>
      <c r="AE739" s="83"/>
      <c r="AF739" s="81"/>
      <c r="AG739" s="81">
        <v>0.4</v>
      </c>
      <c r="AH739" s="82">
        <f t="shared" si="22"/>
        <v>400</v>
      </c>
    </row>
    <row r="740" spans="18:34" ht="14.6">
      <c r="R740" s="63"/>
      <c r="S740" s="64"/>
      <c r="T740" s="65"/>
      <c r="U740" s="63"/>
      <c r="V740" s="66"/>
      <c r="W740" s="67"/>
      <c r="X740" s="68"/>
      <c r="Y740" s="44"/>
      <c r="Z740" s="44"/>
      <c r="AA740" s="44"/>
      <c r="AB740" s="44"/>
      <c r="AC740" s="44"/>
      <c r="AD740" s="42"/>
      <c r="AE740" s="83"/>
      <c r="AF740" s="81"/>
      <c r="AG740" s="81">
        <v>1.0900000000000001</v>
      </c>
      <c r="AH740" s="82">
        <f t="shared" si="22"/>
        <v>1090</v>
      </c>
    </row>
    <row r="741" spans="18:34" ht="14.6">
      <c r="R741" s="63"/>
      <c r="S741" s="64"/>
      <c r="T741" s="65"/>
      <c r="U741" s="63"/>
      <c r="V741" s="66"/>
      <c r="W741" s="67"/>
      <c r="X741" s="68"/>
      <c r="Y741" s="44"/>
      <c r="Z741" s="44"/>
      <c r="AA741" s="44"/>
      <c r="AB741" s="44"/>
      <c r="AC741" s="44"/>
      <c r="AD741" s="48"/>
      <c r="AE741" s="80"/>
      <c r="AF741" s="81"/>
      <c r="AG741" s="81"/>
      <c r="AH741" s="82">
        <f t="shared" si="22"/>
        <v>0</v>
      </c>
    </row>
    <row r="742" spans="18:34" ht="14.6">
      <c r="R742" s="63"/>
      <c r="S742" s="64"/>
      <c r="T742" s="65"/>
      <c r="U742" s="63"/>
      <c r="V742" s="66"/>
      <c r="W742" s="67"/>
      <c r="X742" s="68"/>
      <c r="Y742" s="44"/>
      <c r="Z742" s="44"/>
      <c r="AA742" s="44"/>
      <c r="AB742" s="44"/>
      <c r="AC742" s="44"/>
      <c r="AD742" s="48"/>
      <c r="AE742" s="83"/>
      <c r="AF742" s="81"/>
      <c r="AG742" s="81">
        <f>+AE742-AE741</f>
        <v>0</v>
      </c>
      <c r="AH742" s="82">
        <f t="shared" si="22"/>
        <v>0</v>
      </c>
    </row>
    <row r="743" spans="18:34" ht="14.6">
      <c r="R743" s="63"/>
      <c r="S743" s="64"/>
      <c r="T743" s="65"/>
      <c r="U743" s="63"/>
      <c r="V743" s="66"/>
      <c r="W743" s="67"/>
      <c r="X743" s="68"/>
      <c r="Y743" s="44"/>
      <c r="Z743" s="44"/>
      <c r="AA743" s="44"/>
      <c r="AB743" s="44"/>
      <c r="AC743" s="44"/>
      <c r="AD743" s="48"/>
      <c r="AE743" s="83"/>
      <c r="AF743" s="81"/>
      <c r="AG743" s="81">
        <f>+AE743-AE741</f>
        <v>0</v>
      </c>
      <c r="AH743" s="82">
        <f t="shared" si="22"/>
        <v>0</v>
      </c>
    </row>
    <row r="744" spans="18:34" ht="14.6">
      <c r="R744" s="63"/>
      <c r="S744" s="64"/>
      <c r="T744" s="65"/>
      <c r="U744" s="63"/>
      <c r="V744" s="66"/>
      <c r="W744" s="67"/>
      <c r="X744" s="68"/>
      <c r="Y744" s="44"/>
      <c r="Z744" s="44"/>
      <c r="AA744" s="44"/>
      <c r="AB744" s="44"/>
      <c r="AC744" s="44"/>
      <c r="AD744" s="48"/>
      <c r="AE744" s="83"/>
      <c r="AF744" s="81"/>
      <c r="AG744" s="81">
        <f>+AE744-AE742</f>
        <v>0</v>
      </c>
      <c r="AH744" s="82">
        <f t="shared" si="22"/>
        <v>0</v>
      </c>
    </row>
    <row r="745" spans="18:34" ht="14.6">
      <c r="R745" s="63"/>
      <c r="S745" s="64"/>
      <c r="T745" s="65"/>
      <c r="U745" s="63"/>
      <c r="V745" s="66"/>
      <c r="W745" s="67"/>
      <c r="X745" s="68"/>
      <c r="Y745" s="44"/>
      <c r="Z745" s="44"/>
      <c r="AA745" s="44"/>
      <c r="AB745" s="44"/>
      <c r="AC745" s="44"/>
    </row>
    <row r="746" spans="18:34" ht="14.6">
      <c r="R746" s="63"/>
      <c r="S746" s="64"/>
      <c r="T746" s="65"/>
      <c r="U746" s="63"/>
      <c r="V746" s="66"/>
      <c r="W746" s="67"/>
      <c r="X746" s="68"/>
      <c r="Y746" s="44"/>
      <c r="Z746" s="44"/>
      <c r="AA746" s="44"/>
      <c r="AB746" s="44"/>
      <c r="AC746" s="44"/>
    </row>
    <row r="747" spans="18:34" ht="14.6">
      <c r="R747" s="63"/>
      <c r="S747" s="64"/>
      <c r="T747" s="65"/>
      <c r="U747" s="63"/>
      <c r="V747" s="66"/>
      <c r="W747" s="67"/>
      <c r="X747" s="68"/>
      <c r="Y747" s="44"/>
      <c r="Z747" s="44"/>
      <c r="AA747" s="44"/>
      <c r="AB747" s="44"/>
      <c r="AC747" s="44"/>
    </row>
    <row r="748" spans="18:34" ht="14.6">
      <c r="R748" s="63"/>
      <c r="S748" s="64"/>
      <c r="T748" s="65"/>
      <c r="U748" s="63"/>
      <c r="V748" s="66"/>
      <c r="W748" s="67"/>
      <c r="X748" s="68"/>
      <c r="Y748" s="44"/>
      <c r="Z748" s="44"/>
      <c r="AA748" s="44"/>
      <c r="AB748" s="44"/>
      <c r="AC748" s="44"/>
    </row>
    <row r="749" spans="18:34" ht="14.6">
      <c r="R749" s="63"/>
      <c r="S749" s="64"/>
      <c r="T749" s="65"/>
      <c r="U749" s="63"/>
      <c r="V749" s="66"/>
      <c r="W749" s="67"/>
      <c r="X749" s="68"/>
      <c r="Y749" s="44"/>
      <c r="Z749" s="44"/>
      <c r="AA749" s="44"/>
      <c r="AB749" s="44"/>
      <c r="AC749" s="44"/>
    </row>
    <row r="750" spans="18:34" ht="14.6">
      <c r="R750" s="63"/>
      <c r="S750" s="64"/>
      <c r="T750" s="65"/>
      <c r="U750" s="63"/>
      <c r="V750" s="66"/>
      <c r="W750" s="67"/>
      <c r="X750" s="68"/>
      <c r="Y750" s="44"/>
      <c r="Z750" s="44"/>
      <c r="AA750" s="44"/>
      <c r="AB750" s="44"/>
      <c r="AC750" s="44"/>
    </row>
    <row r="751" spans="18:34" ht="14.6">
      <c r="R751" s="63"/>
      <c r="S751" s="64"/>
      <c r="T751" s="65"/>
      <c r="U751" s="63"/>
      <c r="V751" s="66"/>
      <c r="W751" s="67"/>
      <c r="X751" s="68"/>
      <c r="Y751" s="44"/>
      <c r="Z751" s="44"/>
      <c r="AA751" s="44"/>
      <c r="AB751" s="44"/>
      <c r="AC751" s="44"/>
    </row>
    <row r="752" spans="18:34" ht="14.6">
      <c r="R752" s="63"/>
      <c r="S752" s="64"/>
      <c r="T752" s="65"/>
      <c r="U752" s="63"/>
      <c r="V752" s="66"/>
      <c r="W752" s="67"/>
      <c r="X752" s="68"/>
      <c r="Y752" s="44"/>
      <c r="Z752" s="44"/>
      <c r="AA752" s="44"/>
      <c r="AB752" s="44"/>
      <c r="AC752" s="44"/>
    </row>
    <row r="753" spans="18:29" ht="14.6">
      <c r="R753" s="63"/>
      <c r="S753" s="64"/>
      <c r="T753" s="65"/>
      <c r="U753" s="63"/>
      <c r="V753" s="66"/>
      <c r="W753" s="67"/>
      <c r="X753" s="68"/>
      <c r="Y753" s="44"/>
      <c r="Z753" s="44"/>
      <c r="AA753" s="44"/>
      <c r="AB753" s="44"/>
      <c r="AC753" s="44"/>
    </row>
    <row r="754" spans="18:29" ht="14.6">
      <c r="R754" s="63"/>
      <c r="S754" s="64"/>
      <c r="T754" s="65"/>
      <c r="U754" s="63"/>
      <c r="V754" s="66"/>
      <c r="W754" s="67"/>
      <c r="X754" s="68"/>
      <c r="Y754" s="44"/>
      <c r="Z754" s="44"/>
      <c r="AA754" s="44"/>
      <c r="AB754" s="44"/>
      <c r="AC754" s="44"/>
    </row>
    <row r="755" spans="18:29" ht="14.6">
      <c r="R755" s="63"/>
      <c r="S755" s="64"/>
      <c r="T755" s="65"/>
      <c r="U755" s="63"/>
      <c r="V755" s="66"/>
      <c r="W755" s="67"/>
      <c r="X755" s="68"/>
      <c r="Y755" s="44"/>
      <c r="Z755" s="44"/>
      <c r="AA755" s="44"/>
      <c r="AB755" s="44"/>
      <c r="AC755" s="44"/>
    </row>
    <row r="756" spans="18:29" ht="14.6">
      <c r="R756" s="63"/>
      <c r="S756" s="64"/>
      <c r="T756" s="65"/>
      <c r="U756" s="63"/>
      <c r="V756" s="66"/>
      <c r="W756" s="67"/>
      <c r="X756" s="68"/>
      <c r="Y756" s="44"/>
      <c r="Z756" s="44"/>
      <c r="AA756" s="44"/>
      <c r="AB756" s="44"/>
      <c r="AC756" s="44"/>
    </row>
    <row r="757" spans="18:29" ht="14.6">
      <c r="R757" s="63"/>
      <c r="S757" s="64"/>
      <c r="T757" s="65"/>
      <c r="U757" s="63"/>
      <c r="V757" s="66"/>
      <c r="W757" s="67"/>
      <c r="X757" s="68"/>
      <c r="Y757" s="44"/>
      <c r="Z757" s="44"/>
      <c r="AA757" s="44"/>
      <c r="AB757" s="44"/>
      <c r="AC757" s="44"/>
    </row>
    <row r="758" spans="18:29" ht="14.6">
      <c r="R758" s="63"/>
      <c r="S758" s="64"/>
      <c r="T758" s="65"/>
      <c r="U758" s="63"/>
      <c r="V758" s="66"/>
      <c r="W758" s="67"/>
      <c r="X758" s="68"/>
      <c r="Y758" s="44"/>
      <c r="Z758" s="44"/>
      <c r="AA758" s="44"/>
      <c r="AB758" s="44"/>
      <c r="AC758" s="44"/>
    </row>
    <row r="759" spans="18:29" ht="14.6">
      <c r="R759" s="63"/>
      <c r="S759" s="64"/>
      <c r="T759" s="65"/>
      <c r="U759" s="63"/>
      <c r="V759" s="66"/>
      <c r="W759" s="67"/>
      <c r="X759" s="68"/>
      <c r="Y759" s="44"/>
      <c r="Z759" s="44"/>
      <c r="AA759" s="44"/>
      <c r="AB759" s="44"/>
      <c r="AC759" s="44"/>
    </row>
    <row r="760" spans="18:29" ht="14.6">
      <c r="R760" s="63"/>
      <c r="S760" s="64"/>
      <c r="T760" s="65"/>
      <c r="U760" s="63"/>
      <c r="V760" s="66"/>
      <c r="W760" s="67"/>
      <c r="X760" s="68"/>
      <c r="Y760" s="44"/>
      <c r="Z760" s="44"/>
      <c r="AA760" s="44"/>
      <c r="AB760" s="44"/>
      <c r="AC760" s="44"/>
    </row>
    <row r="761" spans="18:29" ht="14.6">
      <c r="R761" s="63"/>
      <c r="S761" s="64"/>
      <c r="T761" s="65"/>
      <c r="U761" s="63"/>
      <c r="V761" s="66"/>
      <c r="W761" s="67"/>
      <c r="X761" s="68"/>
      <c r="Y761" s="44"/>
      <c r="Z761" s="44"/>
      <c r="AA761" s="44"/>
      <c r="AB761" s="44"/>
      <c r="AC761" s="44"/>
    </row>
    <row r="762" spans="18:29" ht="14.6">
      <c r="R762" s="63"/>
      <c r="S762" s="64"/>
      <c r="T762" s="65"/>
      <c r="U762" s="63"/>
      <c r="V762" s="66"/>
      <c r="W762" s="67"/>
      <c r="X762" s="68"/>
      <c r="Y762" s="44"/>
      <c r="Z762" s="44"/>
      <c r="AA762" s="44"/>
      <c r="AB762" s="44"/>
      <c r="AC762" s="44"/>
    </row>
    <row r="763" spans="18:29" ht="14.6">
      <c r="R763" s="63"/>
      <c r="S763" s="64"/>
      <c r="T763" s="65"/>
      <c r="U763" s="63"/>
      <c r="V763" s="66"/>
      <c r="W763" s="67"/>
      <c r="X763" s="68"/>
      <c r="Y763" s="44"/>
      <c r="Z763" s="44"/>
      <c r="AA763" s="44"/>
      <c r="AB763" s="44"/>
      <c r="AC763" s="44"/>
    </row>
    <row r="764" spans="18:29" ht="14.6">
      <c r="R764" s="63"/>
      <c r="S764" s="64"/>
      <c r="T764" s="65"/>
      <c r="U764" s="63"/>
      <c r="V764" s="66"/>
      <c r="W764" s="67"/>
      <c r="X764" s="68"/>
      <c r="Y764" s="44"/>
      <c r="Z764" s="44"/>
      <c r="AA764" s="44"/>
      <c r="AB764" s="44"/>
      <c r="AC764" s="44"/>
    </row>
    <row r="765" spans="18:29" ht="14.6">
      <c r="R765" s="63"/>
      <c r="S765" s="64"/>
      <c r="T765" s="65"/>
      <c r="U765" s="63"/>
      <c r="V765" s="66"/>
      <c r="W765" s="67"/>
      <c r="X765" s="68"/>
      <c r="Y765" s="44"/>
      <c r="Z765" s="44"/>
      <c r="AA765" s="44"/>
      <c r="AB765" s="44"/>
      <c r="AC765" s="44"/>
    </row>
    <row r="766" spans="18:29" ht="14.6">
      <c r="R766" s="63"/>
      <c r="S766" s="64"/>
      <c r="T766" s="65"/>
      <c r="U766" s="63"/>
      <c r="V766" s="66"/>
      <c r="W766" s="67"/>
      <c r="X766" s="68"/>
      <c r="Y766" s="44"/>
      <c r="Z766" s="44"/>
      <c r="AA766" s="44"/>
      <c r="AB766" s="44"/>
      <c r="AC766" s="44"/>
    </row>
    <row r="767" spans="18:29" ht="14.6">
      <c r="R767" s="63"/>
      <c r="S767" s="64"/>
      <c r="T767" s="65"/>
      <c r="U767" s="63"/>
      <c r="V767" s="66"/>
      <c r="W767" s="67"/>
      <c r="X767" s="68"/>
      <c r="Y767" s="44"/>
      <c r="Z767" s="44"/>
      <c r="AA767" s="44"/>
      <c r="AB767" s="44"/>
      <c r="AC767" s="44"/>
    </row>
    <row r="768" spans="18:29" ht="14.6">
      <c r="R768" s="63"/>
      <c r="S768" s="64"/>
      <c r="T768" s="65"/>
      <c r="U768" s="63"/>
      <c r="V768" s="66"/>
      <c r="W768" s="67"/>
      <c r="X768" s="68"/>
      <c r="Y768" s="44"/>
      <c r="Z768" s="44"/>
      <c r="AA768" s="44"/>
      <c r="AB768" s="44"/>
      <c r="AC768" s="44"/>
    </row>
    <row r="769" spans="18:29" ht="14.6">
      <c r="R769" s="63"/>
      <c r="S769" s="64"/>
      <c r="T769" s="65"/>
      <c r="U769" s="63"/>
      <c r="V769" s="66"/>
      <c r="W769" s="67"/>
      <c r="X769" s="68"/>
      <c r="Y769" s="44"/>
      <c r="Z769" s="44"/>
      <c r="AA769" s="44"/>
      <c r="AB769" s="44"/>
      <c r="AC769" s="44"/>
    </row>
    <row r="770" spans="18:29" ht="14.6">
      <c r="R770" s="63"/>
      <c r="S770" s="64"/>
      <c r="T770" s="65"/>
      <c r="U770" s="63"/>
      <c r="V770" s="66"/>
      <c r="W770" s="67"/>
      <c r="X770" s="68"/>
      <c r="Y770" s="44"/>
      <c r="Z770" s="44"/>
      <c r="AA770" s="44"/>
      <c r="AB770" s="44"/>
      <c r="AC770" s="44"/>
    </row>
    <row r="771" spans="18:29" ht="14.6">
      <c r="R771" s="63"/>
      <c r="S771" s="64"/>
      <c r="T771" s="65"/>
      <c r="U771" s="63"/>
      <c r="V771" s="66"/>
      <c r="W771" s="67"/>
      <c r="X771" s="68"/>
      <c r="Y771" s="44"/>
      <c r="Z771" s="44"/>
      <c r="AA771" s="44"/>
      <c r="AB771" s="44"/>
      <c r="AC771" s="44"/>
    </row>
    <row r="772" spans="18:29" ht="14.6">
      <c r="R772" s="63"/>
      <c r="S772" s="64"/>
      <c r="T772" s="65"/>
      <c r="U772" s="63"/>
      <c r="V772" s="66"/>
      <c r="W772" s="67"/>
      <c r="X772" s="68"/>
      <c r="Y772" s="44"/>
      <c r="Z772" s="44"/>
      <c r="AA772" s="44"/>
      <c r="AB772" s="44"/>
      <c r="AC772" s="44"/>
    </row>
    <row r="773" spans="18:29" ht="14.6">
      <c r="R773" s="63"/>
      <c r="S773" s="64"/>
      <c r="T773" s="65"/>
      <c r="U773" s="63"/>
      <c r="V773" s="66"/>
      <c r="W773" s="67"/>
      <c r="X773" s="68"/>
      <c r="Y773" s="44"/>
      <c r="Z773" s="44"/>
      <c r="AA773" s="44"/>
      <c r="AB773" s="44"/>
      <c r="AC773" s="44"/>
    </row>
    <row r="774" spans="18:29" ht="14.6">
      <c r="R774" s="63"/>
      <c r="S774" s="64"/>
      <c r="T774" s="65"/>
      <c r="U774" s="63"/>
      <c r="V774" s="66"/>
      <c r="W774" s="67"/>
      <c r="X774" s="68"/>
      <c r="Y774" s="44"/>
      <c r="Z774" s="44"/>
      <c r="AA774" s="44"/>
      <c r="AB774" s="44"/>
      <c r="AC774" s="44"/>
    </row>
    <row r="775" spans="18:29" ht="14.6">
      <c r="R775" s="63"/>
      <c r="S775" s="64"/>
      <c r="T775" s="65"/>
      <c r="U775" s="63"/>
      <c r="V775" s="66"/>
      <c r="W775" s="67"/>
      <c r="X775" s="68"/>
      <c r="Y775" s="44"/>
      <c r="Z775" s="44"/>
      <c r="AA775" s="44"/>
      <c r="AB775" s="44"/>
      <c r="AC775" s="44"/>
    </row>
    <row r="776" spans="18:29" ht="14.6">
      <c r="R776" s="63"/>
      <c r="S776" s="64"/>
      <c r="T776" s="65"/>
      <c r="U776" s="63"/>
      <c r="V776" s="66"/>
      <c r="W776" s="67"/>
      <c r="X776" s="68"/>
      <c r="Y776" s="44"/>
      <c r="Z776" s="44"/>
      <c r="AA776" s="44"/>
      <c r="AB776" s="44"/>
      <c r="AC776" s="44"/>
    </row>
    <row r="777" spans="18:29" ht="14.6">
      <c r="R777" s="63"/>
      <c r="S777" s="64"/>
      <c r="T777" s="65"/>
      <c r="U777" s="63"/>
      <c r="V777" s="66"/>
      <c r="W777" s="67"/>
      <c r="X777" s="68"/>
      <c r="Y777" s="44"/>
      <c r="Z777" s="44"/>
      <c r="AA777" s="44"/>
      <c r="AB777" s="44"/>
      <c r="AC777" s="44"/>
    </row>
    <row r="778" spans="18:29" ht="14.6">
      <c r="R778" s="63"/>
      <c r="S778" s="64"/>
      <c r="T778" s="65"/>
      <c r="U778" s="63"/>
      <c r="V778" s="66"/>
      <c r="W778" s="67"/>
      <c r="X778" s="68"/>
      <c r="Y778" s="44"/>
      <c r="Z778" s="44"/>
      <c r="AA778" s="44"/>
      <c r="AB778" s="44"/>
      <c r="AC778" s="44"/>
    </row>
    <row r="779" spans="18:29" ht="14.6">
      <c r="R779" s="63"/>
      <c r="S779" s="64"/>
      <c r="T779" s="65"/>
      <c r="U779" s="63"/>
      <c r="V779" s="66"/>
      <c r="W779" s="67"/>
      <c r="X779" s="68"/>
      <c r="Y779" s="44"/>
      <c r="Z779" s="44"/>
      <c r="AA779" s="44"/>
      <c r="AB779" s="44"/>
      <c r="AC779" s="44"/>
    </row>
    <row r="780" spans="18:29" ht="14.6">
      <c r="R780" s="63"/>
      <c r="S780" s="64"/>
      <c r="T780" s="65"/>
      <c r="U780" s="63"/>
      <c r="V780" s="66"/>
      <c r="W780" s="67"/>
      <c r="X780" s="68"/>
      <c r="Y780" s="44"/>
      <c r="Z780" s="44"/>
      <c r="AA780" s="44"/>
      <c r="AB780" s="44"/>
      <c r="AC780" s="44"/>
    </row>
    <row r="781" spans="18:29" ht="14.6">
      <c r="R781" s="63"/>
      <c r="S781" s="64"/>
      <c r="T781" s="65"/>
      <c r="U781" s="63"/>
      <c r="V781" s="66"/>
      <c r="W781" s="67"/>
      <c r="X781" s="68"/>
      <c r="Y781" s="44"/>
      <c r="Z781" s="44"/>
      <c r="AA781" s="44"/>
      <c r="AB781" s="44"/>
      <c r="AC781" s="44"/>
    </row>
    <row r="782" spans="18:29" ht="14.6">
      <c r="R782" s="63"/>
      <c r="S782" s="64"/>
      <c r="T782" s="65"/>
      <c r="U782" s="63"/>
      <c r="V782" s="66"/>
      <c r="W782" s="67"/>
      <c r="X782" s="68"/>
      <c r="Y782" s="44"/>
      <c r="Z782" s="44"/>
      <c r="AA782" s="44"/>
      <c r="AB782" s="44"/>
      <c r="AC782" s="44"/>
    </row>
    <row r="783" spans="18:29" ht="14.6">
      <c r="R783" s="63"/>
      <c r="S783" s="64"/>
      <c r="T783" s="65"/>
      <c r="U783" s="63"/>
      <c r="V783" s="66"/>
      <c r="W783" s="67"/>
      <c r="X783" s="68"/>
      <c r="Y783" s="44"/>
      <c r="Z783" s="44"/>
      <c r="AA783" s="44"/>
      <c r="AB783" s="44"/>
      <c r="AC783" s="44"/>
    </row>
    <row r="784" spans="18:29" ht="14.6">
      <c r="R784" s="63"/>
      <c r="S784" s="64"/>
      <c r="T784" s="65"/>
      <c r="U784" s="63"/>
      <c r="V784" s="66"/>
      <c r="W784" s="67"/>
      <c r="X784" s="68"/>
      <c r="Y784" s="44"/>
      <c r="Z784" s="44"/>
      <c r="AA784" s="44"/>
      <c r="AB784" s="44"/>
      <c r="AC784" s="44"/>
    </row>
    <row r="785" spans="18:29" ht="14.6">
      <c r="R785" s="63"/>
      <c r="S785" s="64"/>
      <c r="T785" s="65"/>
      <c r="U785" s="63"/>
      <c r="V785" s="66"/>
      <c r="W785" s="67"/>
      <c r="X785" s="68"/>
      <c r="Y785" s="44"/>
      <c r="Z785" s="44"/>
      <c r="AA785" s="44"/>
      <c r="AB785" s="44"/>
      <c r="AC785" s="44"/>
    </row>
    <row r="786" spans="18:29" ht="14.6">
      <c r="R786" s="63"/>
      <c r="S786" s="64"/>
      <c r="T786" s="65"/>
      <c r="U786" s="63"/>
      <c r="V786" s="66"/>
      <c r="W786" s="67"/>
      <c r="X786" s="68"/>
      <c r="Y786" s="44"/>
      <c r="Z786" s="44"/>
      <c r="AA786" s="44"/>
      <c r="AB786" s="44"/>
      <c r="AC786" s="44"/>
    </row>
    <row r="787" spans="18:29" ht="14.6">
      <c r="R787" s="63"/>
      <c r="S787" s="64"/>
      <c r="T787" s="65"/>
      <c r="U787" s="63"/>
      <c r="V787" s="66"/>
      <c r="W787" s="67"/>
      <c r="X787" s="68"/>
      <c r="Y787" s="44"/>
      <c r="Z787" s="44"/>
      <c r="AA787" s="44"/>
      <c r="AB787" s="44"/>
      <c r="AC787" s="44"/>
    </row>
    <row r="788" spans="18:29" ht="14.6">
      <c r="R788" s="63"/>
      <c r="S788" s="64"/>
      <c r="T788" s="65"/>
      <c r="U788" s="63"/>
      <c r="V788" s="66"/>
      <c r="W788" s="67"/>
      <c r="X788" s="68"/>
      <c r="Y788" s="44"/>
      <c r="Z788" s="44"/>
      <c r="AA788" s="44"/>
      <c r="AB788" s="44"/>
      <c r="AC788" s="44"/>
    </row>
    <row r="789" spans="18:29" ht="14.6">
      <c r="R789" s="63"/>
      <c r="S789" s="64"/>
      <c r="T789" s="65"/>
      <c r="U789" s="63"/>
      <c r="V789" s="66"/>
      <c r="W789" s="67"/>
      <c r="X789" s="68"/>
      <c r="Y789" s="44"/>
      <c r="Z789" s="44"/>
      <c r="AA789" s="44"/>
      <c r="AB789" s="44"/>
      <c r="AC789" s="44"/>
    </row>
    <row r="790" spans="18:29" ht="14.6">
      <c r="R790" s="63"/>
      <c r="S790" s="64"/>
      <c r="T790" s="65"/>
      <c r="U790" s="63"/>
      <c r="V790" s="66"/>
      <c r="W790" s="67"/>
      <c r="X790" s="68"/>
      <c r="Y790" s="44"/>
      <c r="Z790" s="44"/>
      <c r="AA790" s="44"/>
      <c r="AB790" s="44"/>
      <c r="AC790" s="44"/>
    </row>
    <row r="791" spans="18:29" ht="14.6">
      <c r="R791" s="63"/>
      <c r="S791" s="64"/>
      <c r="T791" s="65"/>
      <c r="U791" s="63"/>
      <c r="V791" s="66"/>
      <c r="W791" s="67"/>
      <c r="X791" s="68"/>
      <c r="Y791" s="44"/>
      <c r="Z791" s="44"/>
      <c r="AA791" s="44"/>
      <c r="AB791" s="44"/>
      <c r="AC791" s="44"/>
    </row>
    <row r="792" spans="18:29" ht="14.6">
      <c r="R792" s="63"/>
      <c r="S792" s="64"/>
      <c r="T792" s="65"/>
      <c r="U792" s="63"/>
      <c r="V792" s="66"/>
      <c r="W792" s="67"/>
      <c r="X792" s="68"/>
      <c r="Y792" s="44"/>
      <c r="Z792" s="44"/>
      <c r="AA792" s="44"/>
      <c r="AB792" s="44"/>
      <c r="AC792" s="44"/>
    </row>
    <row r="793" spans="18:29" ht="14.6">
      <c r="R793" s="63"/>
      <c r="S793" s="64"/>
      <c r="T793" s="65"/>
      <c r="U793" s="63"/>
      <c r="V793" s="66"/>
      <c r="W793" s="67"/>
      <c r="X793" s="68"/>
      <c r="Y793" s="44"/>
      <c r="Z793" s="44"/>
      <c r="AA793" s="44"/>
      <c r="AB793" s="44"/>
      <c r="AC793" s="44"/>
    </row>
    <row r="794" spans="18:29" ht="14.6">
      <c r="R794" s="63"/>
      <c r="S794" s="64"/>
      <c r="T794" s="65"/>
      <c r="U794" s="63"/>
      <c r="V794" s="66"/>
      <c r="W794" s="67"/>
      <c r="X794" s="68"/>
      <c r="Y794" s="44"/>
      <c r="Z794" s="44"/>
      <c r="AA794" s="44"/>
      <c r="AB794" s="44"/>
      <c r="AC794" s="44"/>
    </row>
    <row r="795" spans="18:29" ht="14.6">
      <c r="R795" s="63"/>
      <c r="S795" s="64"/>
      <c r="T795" s="65"/>
      <c r="U795" s="63"/>
      <c r="V795" s="66"/>
      <c r="W795" s="67"/>
      <c r="X795" s="68"/>
      <c r="Y795" s="44"/>
      <c r="Z795" s="44"/>
      <c r="AA795" s="44"/>
      <c r="AB795" s="44"/>
      <c r="AC795" s="44"/>
    </row>
    <row r="796" spans="18:29" ht="14.6">
      <c r="R796" s="63"/>
      <c r="S796" s="64"/>
      <c r="T796" s="65"/>
      <c r="U796" s="63"/>
      <c r="V796" s="66"/>
      <c r="W796" s="67"/>
      <c r="X796" s="68"/>
      <c r="Y796" s="44"/>
      <c r="Z796" s="44"/>
      <c r="AA796" s="44"/>
      <c r="AB796" s="44"/>
      <c r="AC796" s="44"/>
    </row>
    <row r="797" spans="18:29" ht="14.6">
      <c r="R797" s="63"/>
      <c r="S797" s="64"/>
      <c r="T797" s="65"/>
      <c r="U797" s="63"/>
      <c r="V797" s="66"/>
      <c r="W797" s="67"/>
      <c r="X797" s="68"/>
      <c r="Y797" s="44"/>
      <c r="Z797" s="44"/>
      <c r="AA797" s="44"/>
      <c r="AB797" s="44"/>
      <c r="AC797" s="44"/>
    </row>
    <row r="798" spans="18:29" ht="14.6">
      <c r="R798" s="63"/>
      <c r="S798" s="64"/>
      <c r="T798" s="65"/>
      <c r="U798" s="63"/>
      <c r="V798" s="66"/>
      <c r="W798" s="67"/>
      <c r="X798" s="68"/>
      <c r="Y798" s="44"/>
      <c r="Z798" s="44"/>
      <c r="AA798" s="44"/>
      <c r="AB798" s="44"/>
      <c r="AC798" s="44"/>
    </row>
    <row r="799" spans="18:29" ht="14.6">
      <c r="R799" s="63"/>
      <c r="S799" s="64"/>
      <c r="T799" s="65"/>
      <c r="U799" s="63"/>
      <c r="V799" s="66"/>
      <c r="W799" s="67"/>
      <c r="X799" s="68"/>
      <c r="Y799" s="44"/>
      <c r="Z799" s="44"/>
      <c r="AA799" s="44"/>
      <c r="AB799" s="44"/>
      <c r="AC799" s="44"/>
    </row>
    <row r="800" spans="18:29" ht="14.6">
      <c r="R800" s="63"/>
      <c r="S800" s="64"/>
      <c r="T800" s="65"/>
      <c r="U800" s="63"/>
      <c r="V800" s="66"/>
      <c r="W800" s="67"/>
      <c r="X800" s="68"/>
      <c r="Y800" s="44"/>
      <c r="Z800" s="44"/>
      <c r="AA800" s="44"/>
      <c r="AB800" s="44"/>
      <c r="AC800" s="44"/>
    </row>
    <row r="801" spans="18:29" ht="14.6">
      <c r="R801" s="63"/>
      <c r="S801" s="64"/>
      <c r="T801" s="65"/>
      <c r="U801" s="63"/>
      <c r="V801" s="66"/>
      <c r="W801" s="67"/>
      <c r="X801" s="68"/>
      <c r="Y801" s="44"/>
      <c r="Z801" s="44"/>
      <c r="AA801" s="44"/>
      <c r="AB801" s="44"/>
      <c r="AC801" s="44"/>
    </row>
    <row r="802" spans="18:29" ht="14.6">
      <c r="R802" s="63"/>
      <c r="S802" s="64"/>
      <c r="T802" s="65"/>
      <c r="U802" s="63"/>
      <c r="V802" s="66"/>
      <c r="W802" s="67"/>
      <c r="X802" s="68"/>
      <c r="Y802" s="44"/>
      <c r="Z802" s="44"/>
      <c r="AA802" s="44"/>
      <c r="AB802" s="44"/>
      <c r="AC802" s="44"/>
    </row>
    <row r="803" spans="18:29" ht="14.6">
      <c r="R803" s="63"/>
      <c r="S803" s="64"/>
      <c r="T803" s="65"/>
      <c r="U803" s="63"/>
      <c r="V803" s="66"/>
      <c r="W803" s="67"/>
      <c r="X803" s="68"/>
      <c r="Y803" s="44"/>
      <c r="Z803" s="44"/>
      <c r="AA803" s="44"/>
      <c r="AB803" s="44"/>
      <c r="AC803" s="44"/>
    </row>
    <row r="804" spans="18:29" ht="14.6">
      <c r="R804" s="63"/>
      <c r="S804" s="64"/>
      <c r="T804" s="65"/>
      <c r="U804" s="63"/>
      <c r="V804" s="66"/>
      <c r="W804" s="67"/>
      <c r="X804" s="68"/>
      <c r="Y804" s="44"/>
      <c r="Z804" s="44"/>
      <c r="AA804" s="44"/>
      <c r="AB804" s="44"/>
      <c r="AC804" s="44"/>
    </row>
    <row r="805" spans="18:29" ht="14.6">
      <c r="R805" s="63"/>
      <c r="S805" s="64"/>
      <c r="T805" s="65"/>
      <c r="U805" s="63"/>
      <c r="V805" s="66"/>
      <c r="W805" s="67"/>
      <c r="X805" s="68"/>
      <c r="Y805" s="44"/>
      <c r="Z805" s="44"/>
      <c r="AA805" s="44"/>
      <c r="AB805" s="44"/>
      <c r="AC805" s="44"/>
    </row>
    <row r="806" spans="18:29" ht="14.6">
      <c r="R806" s="63"/>
      <c r="S806" s="64"/>
      <c r="T806" s="65"/>
      <c r="U806" s="63"/>
      <c r="V806" s="66"/>
      <c r="W806" s="67"/>
      <c r="X806" s="68"/>
      <c r="Y806" s="44"/>
      <c r="Z806" s="44"/>
      <c r="AA806" s="44"/>
      <c r="AB806" s="44"/>
      <c r="AC806" s="44"/>
    </row>
    <row r="807" spans="18:29" ht="14.6">
      <c r="R807" s="63"/>
      <c r="S807" s="64"/>
      <c r="T807" s="65"/>
      <c r="U807" s="63"/>
      <c r="V807" s="66"/>
      <c r="W807" s="67"/>
      <c r="X807" s="68"/>
      <c r="Y807" s="44"/>
      <c r="Z807" s="44"/>
      <c r="AA807" s="44"/>
      <c r="AB807" s="44"/>
      <c r="AC807" s="44"/>
    </row>
    <row r="808" spans="18:29" ht="14.6">
      <c r="R808" s="63"/>
      <c r="S808" s="64"/>
      <c r="T808" s="65"/>
      <c r="U808" s="63"/>
      <c r="V808" s="66"/>
      <c r="W808" s="67"/>
      <c r="X808" s="68"/>
      <c r="Y808" s="44"/>
      <c r="Z808" s="44"/>
      <c r="AA808" s="44"/>
      <c r="AB808" s="44"/>
      <c r="AC808" s="44"/>
    </row>
    <row r="809" spans="18:29" ht="14.6">
      <c r="R809" s="63"/>
      <c r="S809" s="64"/>
      <c r="T809" s="65"/>
      <c r="U809" s="63"/>
      <c r="V809" s="66"/>
      <c r="W809" s="67"/>
      <c r="X809" s="68"/>
      <c r="Y809" s="44"/>
      <c r="Z809" s="44"/>
      <c r="AA809" s="44"/>
      <c r="AB809" s="44"/>
      <c r="AC809" s="44"/>
    </row>
    <row r="810" spans="18:29" ht="14.6">
      <c r="R810" s="63"/>
      <c r="S810" s="64"/>
      <c r="T810" s="65"/>
      <c r="U810" s="63"/>
      <c r="V810" s="66"/>
      <c r="W810" s="67"/>
      <c r="X810" s="68"/>
      <c r="Y810" s="44"/>
      <c r="Z810" s="44"/>
      <c r="AA810" s="44"/>
      <c r="AB810" s="44"/>
      <c r="AC810" s="44"/>
    </row>
    <row r="811" spans="18:29" ht="14.6">
      <c r="R811" s="63"/>
      <c r="S811" s="64"/>
      <c r="T811" s="65"/>
      <c r="U811" s="63"/>
      <c r="V811" s="66"/>
      <c r="W811" s="67"/>
      <c r="X811" s="68"/>
      <c r="Y811" s="44"/>
      <c r="Z811" s="44"/>
      <c r="AA811" s="44"/>
      <c r="AB811" s="44"/>
      <c r="AC811" s="44"/>
    </row>
    <row r="812" spans="18:29" ht="14.6">
      <c r="R812" s="63"/>
      <c r="S812" s="64"/>
      <c r="T812" s="65"/>
      <c r="U812" s="63"/>
      <c r="V812" s="66"/>
      <c r="W812" s="67"/>
      <c r="X812" s="68"/>
      <c r="Y812" s="44"/>
      <c r="Z812" s="44"/>
      <c r="AA812" s="44"/>
      <c r="AB812" s="44"/>
      <c r="AC812" s="44"/>
    </row>
    <row r="813" spans="18:29" ht="14.6">
      <c r="R813" s="63"/>
      <c r="S813" s="64"/>
      <c r="T813" s="65"/>
      <c r="U813" s="63"/>
      <c r="V813" s="66"/>
      <c r="W813" s="67"/>
      <c r="X813" s="68"/>
      <c r="Y813" s="44"/>
      <c r="Z813" s="44"/>
      <c r="AA813" s="44"/>
      <c r="AB813" s="44"/>
      <c r="AC813" s="44"/>
    </row>
    <row r="814" spans="18:29" ht="14.6">
      <c r="R814" s="63"/>
      <c r="S814" s="64"/>
      <c r="T814" s="65"/>
      <c r="U814" s="63"/>
      <c r="V814" s="66"/>
      <c r="W814" s="67"/>
      <c r="X814" s="68"/>
      <c r="Y814" s="44"/>
      <c r="Z814" s="44"/>
      <c r="AA814" s="44"/>
      <c r="AB814" s="44"/>
      <c r="AC814" s="44"/>
    </row>
    <row r="815" spans="18:29" ht="14.6">
      <c r="R815" s="63"/>
      <c r="S815" s="64"/>
      <c r="T815" s="65"/>
      <c r="U815" s="63"/>
      <c r="V815" s="66"/>
      <c r="W815" s="67"/>
      <c r="X815" s="68"/>
      <c r="Y815" s="44"/>
      <c r="Z815" s="44"/>
      <c r="AA815" s="44"/>
      <c r="AB815" s="44"/>
      <c r="AC815" s="44"/>
    </row>
    <row r="816" spans="18:29" ht="14.6">
      <c r="R816" s="63"/>
      <c r="S816" s="64"/>
      <c r="T816" s="65"/>
      <c r="U816" s="63"/>
      <c r="V816" s="66"/>
      <c r="W816" s="67"/>
      <c r="X816" s="68"/>
      <c r="Y816" s="44"/>
      <c r="Z816" s="44"/>
      <c r="AA816" s="44"/>
      <c r="AB816" s="44"/>
      <c r="AC816" s="44"/>
    </row>
    <row r="817" spans="18:29" ht="14.6">
      <c r="R817" s="63"/>
      <c r="S817" s="64"/>
      <c r="T817" s="65"/>
      <c r="U817" s="63"/>
      <c r="V817" s="66"/>
      <c r="W817" s="67"/>
      <c r="X817" s="68"/>
      <c r="Y817" s="44"/>
      <c r="Z817" s="44"/>
      <c r="AA817" s="44"/>
      <c r="AB817" s="44"/>
      <c r="AC817" s="44"/>
    </row>
    <row r="818" spans="18:29" ht="14.6">
      <c r="R818" s="63"/>
      <c r="S818" s="64"/>
      <c r="T818" s="65"/>
      <c r="U818" s="63"/>
      <c r="V818" s="66"/>
      <c r="W818" s="67"/>
      <c r="X818" s="68"/>
      <c r="Y818" s="44"/>
      <c r="Z818" s="44"/>
      <c r="AA818" s="44"/>
      <c r="AB818" s="44"/>
      <c r="AC818" s="44"/>
    </row>
    <row r="819" spans="18:29" ht="14.6">
      <c r="R819" s="63"/>
      <c r="S819" s="64"/>
      <c r="T819" s="65"/>
      <c r="U819" s="63"/>
      <c r="V819" s="66"/>
      <c r="W819" s="67"/>
      <c r="X819" s="68"/>
      <c r="Y819" s="44"/>
      <c r="Z819" s="44"/>
      <c r="AA819" s="44"/>
      <c r="AB819" s="44"/>
      <c r="AC819" s="44"/>
    </row>
    <row r="820" spans="18:29" ht="14.6">
      <c r="R820" s="63"/>
      <c r="S820" s="64"/>
      <c r="T820" s="65"/>
      <c r="U820" s="63"/>
      <c r="V820" s="66"/>
      <c r="W820" s="67"/>
      <c r="X820" s="68"/>
      <c r="Y820" s="44"/>
      <c r="Z820" s="44"/>
      <c r="AA820" s="44"/>
      <c r="AB820" s="44"/>
      <c r="AC820" s="44"/>
    </row>
    <row r="821" spans="18:29" ht="14.6">
      <c r="R821" s="63"/>
      <c r="S821" s="64"/>
      <c r="T821" s="65"/>
      <c r="U821" s="63"/>
      <c r="V821" s="66"/>
      <c r="W821" s="67"/>
      <c r="X821" s="68"/>
      <c r="Y821" s="44"/>
      <c r="Z821" s="44"/>
      <c r="AA821" s="44"/>
      <c r="AB821" s="44"/>
      <c r="AC821" s="44"/>
    </row>
    <row r="822" spans="18:29" ht="14.6">
      <c r="R822" s="63"/>
      <c r="S822" s="64"/>
      <c r="T822" s="65"/>
      <c r="U822" s="63"/>
      <c r="V822" s="66"/>
      <c r="W822" s="67"/>
      <c r="X822" s="68"/>
      <c r="Y822" s="44"/>
      <c r="Z822" s="44"/>
      <c r="AA822" s="44"/>
      <c r="AB822" s="44"/>
      <c r="AC822" s="44"/>
    </row>
    <row r="823" spans="18:29" ht="14.6">
      <c r="R823" s="63"/>
      <c r="S823" s="64"/>
      <c r="T823" s="65"/>
      <c r="U823" s="63"/>
      <c r="V823" s="66"/>
      <c r="W823" s="67"/>
      <c r="X823" s="68"/>
      <c r="Y823" s="44"/>
      <c r="Z823" s="44"/>
      <c r="AA823" s="44"/>
      <c r="AB823" s="44"/>
      <c r="AC823" s="44"/>
    </row>
    <row r="824" spans="18:29" ht="14.6">
      <c r="R824" s="63"/>
      <c r="S824" s="64"/>
      <c r="T824" s="65"/>
      <c r="U824" s="63"/>
      <c r="V824" s="66"/>
      <c r="W824" s="67"/>
      <c r="X824" s="68"/>
      <c r="Y824" s="44"/>
      <c r="Z824" s="44"/>
      <c r="AA824" s="44"/>
      <c r="AB824" s="44"/>
      <c r="AC824" s="44"/>
    </row>
    <row r="825" spans="18:29" ht="14.6">
      <c r="R825" s="63"/>
      <c r="S825" s="64"/>
      <c r="T825" s="65"/>
      <c r="U825" s="63"/>
      <c r="V825" s="66"/>
      <c r="W825" s="67"/>
      <c r="X825" s="68"/>
      <c r="Y825" s="44"/>
      <c r="Z825" s="44"/>
      <c r="AA825" s="44"/>
      <c r="AB825" s="44"/>
      <c r="AC825" s="44"/>
    </row>
    <row r="826" spans="18:29" ht="14.6">
      <c r="R826" s="63"/>
      <c r="S826" s="64"/>
      <c r="T826" s="65"/>
      <c r="U826" s="63"/>
      <c r="V826" s="66"/>
      <c r="W826" s="67"/>
      <c r="X826" s="68"/>
      <c r="Y826" s="44"/>
      <c r="Z826" s="44"/>
      <c r="AA826" s="44"/>
      <c r="AB826" s="44"/>
      <c r="AC826" s="44"/>
    </row>
  </sheetData>
  <sheetProtection algorithmName="SHA-512" hashValue="TxTPEw9fartgIj6bkF79H3DUGUxu1CfWj0BNgxUW6prUOxsj2YodDLo9hCWO/yVgr4JK7he0j/TnCVsYm6fytA==" saltValue="LEaujxtBrfG5RalyN4l3Eg==" spinCount="100000" sheet="1" objects="1" scenarios="1"/>
  <mergeCells count="3">
    <mergeCell ref="M5:AD5"/>
    <mergeCell ref="AE5:AJ5"/>
    <mergeCell ref="C1:H1"/>
  </mergeCells>
  <phoneticPr fontId="107" type="noConversion"/>
  <hyperlinks>
    <hyperlink ref="E6" r:id="rId1" xr:uid="{00000000-0004-0000-0000-000000000000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3"/>
  <sheetViews>
    <sheetView topLeftCell="A16" zoomScale="80" zoomScaleNormal="80" workbookViewId="0">
      <selection activeCell="I13" sqref="I13"/>
    </sheetView>
  </sheetViews>
  <sheetFormatPr baseColWidth="10" defaultColWidth="11.4609375" defaultRowHeight="14.6"/>
  <cols>
    <col min="3" max="3" width="21.765625" customWidth="1"/>
    <col min="4" max="4" width="16.765625" customWidth="1"/>
    <col min="5" max="5" width="14" customWidth="1"/>
    <col min="6" max="6" width="15.3046875" customWidth="1"/>
    <col min="7" max="7" width="36.23046875" customWidth="1"/>
    <col min="8" max="8" width="17" bestFit="1" customWidth="1"/>
    <col min="9" max="9" width="15.07421875" customWidth="1"/>
    <col min="12" max="12" width="18" customWidth="1"/>
    <col min="15" max="15" width="15.765625" customWidth="1"/>
    <col min="16" max="16" width="14.3046875" bestFit="1" customWidth="1"/>
  </cols>
  <sheetData>
    <row r="1" spans="1:10" ht="18" thickBot="1">
      <c r="A1" t="s">
        <v>148</v>
      </c>
      <c r="E1" s="684" t="s">
        <v>44</v>
      </c>
      <c r="F1" s="685"/>
      <c r="G1" s="685"/>
      <c r="H1" s="685"/>
      <c r="I1" s="685"/>
      <c r="J1" s="686"/>
    </row>
    <row r="2" spans="1:10" s="20" customFormat="1" ht="18" thickBot="1">
      <c r="E2" s="178"/>
      <c r="F2" s="178"/>
      <c r="G2" s="178"/>
      <c r="H2" s="178"/>
      <c r="I2" s="178"/>
      <c r="J2" s="178"/>
    </row>
    <row r="3" spans="1:10" ht="17.600000000000001">
      <c r="A3" s="3"/>
      <c r="B3" s="3"/>
      <c r="C3" s="174" t="s">
        <v>10</v>
      </c>
      <c r="D3" s="100"/>
      <c r="E3" s="748" t="s">
        <v>117</v>
      </c>
      <c r="F3" s="171"/>
      <c r="G3" s="695" t="s">
        <v>46</v>
      </c>
      <c r="H3" s="695"/>
      <c r="I3" s="745">
        <v>60</v>
      </c>
    </row>
    <row r="4" spans="1:10" ht="17.600000000000001">
      <c r="A4" s="3"/>
      <c r="B4" s="3"/>
      <c r="C4" s="56" t="s">
        <v>593</v>
      </c>
      <c r="D4" s="22"/>
      <c r="E4" s="749" t="s">
        <v>174</v>
      </c>
      <c r="F4" s="24"/>
      <c r="G4" s="638"/>
      <c r="H4" s="638"/>
      <c r="I4" s="746"/>
    </row>
    <row r="5" spans="1:10" ht="17.600000000000001">
      <c r="A5" s="3"/>
      <c r="B5" s="3"/>
      <c r="C5" s="56" t="s">
        <v>48</v>
      </c>
      <c r="D5" s="22"/>
      <c r="E5" s="749"/>
      <c r="F5" s="24"/>
      <c r="G5" s="696" t="s">
        <v>49</v>
      </c>
      <c r="H5" s="696"/>
      <c r="I5" s="745">
        <v>3</v>
      </c>
    </row>
    <row r="6" spans="1:10" ht="17.600000000000001">
      <c r="A6" s="3"/>
      <c r="B6" s="3"/>
      <c r="C6" s="56" t="s">
        <v>51</v>
      </c>
      <c r="D6" s="22"/>
      <c r="E6" s="749">
        <v>42401</v>
      </c>
      <c r="F6" s="24"/>
      <c r="G6" s="696" t="s">
        <v>52</v>
      </c>
      <c r="H6" s="696"/>
      <c r="I6" s="745" t="s">
        <v>118</v>
      </c>
    </row>
    <row r="7" spans="1:10" ht="17.600000000000001">
      <c r="C7" s="56" t="s">
        <v>54</v>
      </c>
      <c r="D7" s="22"/>
      <c r="E7" s="749" t="s">
        <v>55</v>
      </c>
      <c r="F7" s="24"/>
      <c r="G7" s="696" t="s">
        <v>57</v>
      </c>
      <c r="H7" s="696"/>
      <c r="I7" s="745" t="s">
        <v>36</v>
      </c>
    </row>
    <row r="8" spans="1:10" ht="17.600000000000001">
      <c r="C8" s="56" t="s">
        <v>119</v>
      </c>
      <c r="D8" s="20"/>
      <c r="E8" s="749">
        <v>100</v>
      </c>
      <c r="F8" s="154"/>
      <c r="G8" s="696" t="s">
        <v>120</v>
      </c>
      <c r="H8" s="696"/>
      <c r="I8" s="744">
        <v>4000</v>
      </c>
      <c r="J8" t="s">
        <v>149</v>
      </c>
    </row>
    <row r="9" spans="1:10" ht="15" thickBot="1">
      <c r="C9" s="175"/>
      <c r="D9" s="176"/>
      <c r="E9" s="13" t="str">
        <f>"Consumo de Gas"&amp;" ="&amp;C24&amp;" m3/año"</f>
        <v>Consumo de Gas =1409 m3/año</v>
      </c>
      <c r="F9" s="172"/>
      <c r="G9" s="172"/>
      <c r="H9" s="172"/>
      <c r="I9" s="747">
        <f>+MIN(C15:C21)</f>
        <v>81</v>
      </c>
    </row>
    <row r="10" spans="1:10" ht="15" thickBot="1">
      <c r="A10" s="3" t="str">
        <f>"Consumo de Gas"&amp;" ="&amp;ROUND(E42/1000,2)&amp;" MWh/año"&amp;" ="&amp;C24&amp;" m3/año"</f>
        <v>Consumo de Gas =11.11 MWh/año =1409 m3/año</v>
      </c>
      <c r="E10" s="3" t="s">
        <v>121</v>
      </c>
      <c r="F10" s="170" t="s">
        <v>122</v>
      </c>
      <c r="G10" s="143" t="s">
        <v>123</v>
      </c>
      <c r="I10" s="751">
        <f>+IF(I9/D11&lt;0.5,0.5*D11,I9)</f>
        <v>81</v>
      </c>
    </row>
    <row r="11" spans="1:10" ht="15" thickBot="1">
      <c r="A11" s="52"/>
      <c r="C11" s="144" t="s">
        <v>151</v>
      </c>
      <c r="D11" s="145">
        <f>365/6</f>
        <v>60.833333333333336</v>
      </c>
      <c r="E11" s="146"/>
      <c r="F11" s="147">
        <f>+AVERAGE(F18:F20)</f>
        <v>2.7194520547945209</v>
      </c>
      <c r="G11" s="148">
        <f>+F11*9300/$I$8</f>
        <v>6.3227260273972616</v>
      </c>
      <c r="H11" s="26" t="s">
        <v>125</v>
      </c>
      <c r="I11" s="149">
        <f>+I9*(I13/100)</f>
        <v>109.35000000000001</v>
      </c>
    </row>
    <row r="12" spans="1:10" ht="18.45">
      <c r="A12" s="640" t="s">
        <v>594</v>
      </c>
      <c r="B12" s="641"/>
      <c r="C12" s="642"/>
      <c r="D12" s="643"/>
      <c r="E12" s="234"/>
      <c r="F12" s="235"/>
      <c r="G12" s="148"/>
      <c r="H12" s="236"/>
      <c r="I12" s="236"/>
    </row>
    <row r="13" spans="1:10" ht="18" thickBot="1">
      <c r="A13" s="238" t="s">
        <v>160</v>
      </c>
      <c r="B13" s="237"/>
      <c r="C13" s="177"/>
      <c r="D13" s="237"/>
      <c r="E13" s="237"/>
      <c r="F13" s="750">
        <v>1</v>
      </c>
      <c r="G13" s="12">
        <f>+I11</f>
        <v>109.35000000000001</v>
      </c>
      <c r="I13" s="752">
        <v>135</v>
      </c>
    </row>
    <row r="14" spans="1:10">
      <c r="A14" s="180" t="s">
        <v>124</v>
      </c>
      <c r="B14" s="181" t="s">
        <v>124</v>
      </c>
      <c r="C14" s="181" t="s">
        <v>150</v>
      </c>
      <c r="D14" s="181" t="s">
        <v>126</v>
      </c>
      <c r="E14" s="182" t="s">
        <v>127</v>
      </c>
      <c r="F14" s="182" t="s">
        <v>128</v>
      </c>
      <c r="G14" s="182" t="s">
        <v>129</v>
      </c>
      <c r="H14" s="183" t="s">
        <v>130</v>
      </c>
      <c r="I14" s="188" t="s">
        <v>131</v>
      </c>
      <c r="J14" s="189" t="s">
        <v>132</v>
      </c>
    </row>
    <row r="15" spans="1:10" ht="17.600000000000001">
      <c r="A15" s="184" t="s">
        <v>133</v>
      </c>
      <c r="B15" s="17">
        <v>1</v>
      </c>
      <c r="C15" s="743">
        <v>81</v>
      </c>
      <c r="D15" s="150">
        <f>+C15/$D$11</f>
        <v>1.3315068493150684</v>
      </c>
      <c r="E15" s="151">
        <f t="shared" ref="E15:E21" si="0">+G15/$D$11</f>
        <v>1.3315068493150684</v>
      </c>
      <c r="F15" s="151">
        <f>+IF(D15&gt;E15,D15-E15,0)</f>
        <v>0</v>
      </c>
      <c r="G15" s="152">
        <f>+IF(C15&lt;$G$13,C15,$G$13)</f>
        <v>81</v>
      </c>
      <c r="H15" s="185">
        <f>+IF(C15&gt;G15,C15-G15,0)</f>
        <v>0</v>
      </c>
      <c r="I15" s="190">
        <f>+I11</f>
        <v>109.35000000000001</v>
      </c>
      <c r="J15" s="191">
        <f>+I15/$D$11</f>
        <v>1.7975342465753426</v>
      </c>
    </row>
    <row r="16" spans="1:10" ht="17.600000000000001">
      <c r="A16" s="184" t="s">
        <v>134</v>
      </c>
      <c r="B16" s="17">
        <v>2</v>
      </c>
      <c r="C16" s="743">
        <v>105</v>
      </c>
      <c r="D16" s="150">
        <f>+C16/$D$11</f>
        <v>1.726027397260274</v>
      </c>
      <c r="E16" s="151">
        <f t="shared" si="0"/>
        <v>1.726027397260274</v>
      </c>
      <c r="F16" s="151">
        <f t="shared" ref="F16:F21" si="1">+IF(D16&gt;E16,D16-E16,0)</f>
        <v>0</v>
      </c>
      <c r="G16" s="152">
        <f t="shared" ref="G16:G21" si="2">+IF(C16&lt;$G$13,C16,$G$13)</f>
        <v>105</v>
      </c>
      <c r="H16" s="185">
        <f t="shared" ref="H16:H21" si="3">+IF(C16&gt;G16,C16-G16,0)</f>
        <v>0</v>
      </c>
      <c r="I16" s="190">
        <f>+I15</f>
        <v>109.35000000000001</v>
      </c>
      <c r="J16" s="191">
        <f>+J15</f>
        <v>1.7975342465753426</v>
      </c>
    </row>
    <row r="17" spans="1:10" ht="17.600000000000001">
      <c r="A17" s="184" t="s">
        <v>135</v>
      </c>
      <c r="B17" s="17">
        <v>3</v>
      </c>
      <c r="C17" s="743">
        <v>408</v>
      </c>
      <c r="D17" s="150">
        <f t="shared" ref="D17:D21" si="4">+C17/$D$11</f>
        <v>6.7068493150684931</v>
      </c>
      <c r="E17" s="151">
        <f t="shared" si="0"/>
        <v>1.7975342465753426</v>
      </c>
      <c r="F17" s="151">
        <f t="shared" si="1"/>
        <v>4.9093150684931501</v>
      </c>
      <c r="G17" s="152">
        <f t="shared" si="2"/>
        <v>109.35000000000001</v>
      </c>
      <c r="H17" s="185">
        <f t="shared" si="3"/>
        <v>298.64999999999998</v>
      </c>
      <c r="I17" s="190">
        <f t="shared" ref="I17:J21" si="5">+I16</f>
        <v>109.35000000000001</v>
      </c>
      <c r="J17" s="191">
        <f t="shared" si="5"/>
        <v>1.7975342465753426</v>
      </c>
    </row>
    <row r="18" spans="1:10" ht="17.600000000000001">
      <c r="A18" s="184" t="s">
        <v>136</v>
      </c>
      <c r="B18" s="17">
        <v>4</v>
      </c>
      <c r="C18" s="743">
        <v>409</v>
      </c>
      <c r="D18" s="150">
        <f t="shared" si="4"/>
        <v>6.7232876712328764</v>
      </c>
      <c r="E18" s="151">
        <f t="shared" si="0"/>
        <v>1.7975342465753426</v>
      </c>
      <c r="F18" s="153">
        <f t="shared" si="1"/>
        <v>4.9257534246575343</v>
      </c>
      <c r="G18" s="152">
        <f t="shared" si="2"/>
        <v>109.35000000000001</v>
      </c>
      <c r="H18" s="185">
        <f t="shared" si="3"/>
        <v>299.64999999999998</v>
      </c>
      <c r="I18" s="190">
        <f t="shared" si="5"/>
        <v>109.35000000000001</v>
      </c>
      <c r="J18" s="191">
        <f>+J17</f>
        <v>1.7975342465753426</v>
      </c>
    </row>
    <row r="19" spans="1:10" ht="17.600000000000001">
      <c r="A19" s="184" t="s">
        <v>137</v>
      </c>
      <c r="B19" s="17">
        <v>5</v>
      </c>
      <c r="C19" s="743">
        <v>306</v>
      </c>
      <c r="D19" s="150">
        <f t="shared" si="4"/>
        <v>5.0301369863013701</v>
      </c>
      <c r="E19" s="151">
        <f t="shared" si="0"/>
        <v>1.7975342465753426</v>
      </c>
      <c r="F19" s="153">
        <f t="shared" si="1"/>
        <v>3.2326027397260275</v>
      </c>
      <c r="G19" s="152">
        <f t="shared" si="2"/>
        <v>109.35000000000001</v>
      </c>
      <c r="H19" s="185">
        <f t="shared" si="3"/>
        <v>196.64999999999998</v>
      </c>
      <c r="I19" s="190">
        <f t="shared" si="5"/>
        <v>109.35000000000001</v>
      </c>
      <c r="J19" s="191">
        <f t="shared" si="5"/>
        <v>1.7975342465753426</v>
      </c>
    </row>
    <row r="20" spans="1:10" ht="17.600000000000001">
      <c r="A20" s="184" t="s">
        <v>138</v>
      </c>
      <c r="B20" s="17">
        <v>6</v>
      </c>
      <c r="C20" s="743">
        <v>100</v>
      </c>
      <c r="D20" s="150">
        <f t="shared" si="4"/>
        <v>1.6438356164383561</v>
      </c>
      <c r="E20" s="151">
        <f t="shared" si="0"/>
        <v>1.6438356164383561</v>
      </c>
      <c r="F20" s="153">
        <f t="shared" si="1"/>
        <v>0</v>
      </c>
      <c r="G20" s="152">
        <f t="shared" si="2"/>
        <v>100</v>
      </c>
      <c r="H20" s="185">
        <f t="shared" si="3"/>
        <v>0</v>
      </c>
      <c r="I20" s="190">
        <f t="shared" si="5"/>
        <v>109.35000000000001</v>
      </c>
      <c r="J20" s="191">
        <f t="shared" si="5"/>
        <v>1.7975342465753426</v>
      </c>
    </row>
    <row r="21" spans="1:10" ht="18" thickBot="1">
      <c r="A21" s="184" t="s">
        <v>133</v>
      </c>
      <c r="B21" s="17">
        <v>1</v>
      </c>
      <c r="C21" s="743"/>
      <c r="D21" s="150">
        <f t="shared" si="4"/>
        <v>0</v>
      </c>
      <c r="E21" s="151">
        <f t="shared" si="0"/>
        <v>0</v>
      </c>
      <c r="F21" s="153">
        <f t="shared" si="1"/>
        <v>0</v>
      </c>
      <c r="G21" s="152">
        <f t="shared" si="2"/>
        <v>0</v>
      </c>
      <c r="H21" s="185">
        <f t="shared" si="3"/>
        <v>0</v>
      </c>
      <c r="I21" s="192">
        <f t="shared" si="5"/>
        <v>109.35000000000001</v>
      </c>
      <c r="J21" s="173">
        <f t="shared" si="5"/>
        <v>1.7975342465753426</v>
      </c>
    </row>
    <row r="22" spans="1:10" ht="18.899999999999999" thickBot="1">
      <c r="A22" s="186" t="s">
        <v>152</v>
      </c>
      <c r="B22" s="187">
        <f>+G22+H22</f>
        <v>1409</v>
      </c>
      <c r="C22" s="193">
        <f>SUM(C15:C20)</f>
        <v>1409</v>
      </c>
      <c r="D22" s="194"/>
      <c r="E22" s="195"/>
      <c r="F22" s="195"/>
      <c r="G22" s="196">
        <f>SUM(G15:G20)</f>
        <v>614.05000000000007</v>
      </c>
      <c r="H22" s="197">
        <f>SUM(H15:H20)</f>
        <v>794.94999999999993</v>
      </c>
    </row>
    <row r="23" spans="1:10">
      <c r="B23" s="6" t="s">
        <v>33</v>
      </c>
      <c r="C23" s="6" t="s">
        <v>34</v>
      </c>
      <c r="D23" s="179">
        <v>10.813833333333299</v>
      </c>
      <c r="E23" s="157" t="s">
        <v>35</v>
      </c>
      <c r="F23" s="158"/>
    </row>
    <row r="24" spans="1:10" ht="15" thickBot="1">
      <c r="A24" s="14" t="s">
        <v>139</v>
      </c>
      <c r="C24" s="159">
        <f>SUM(C15:C20)</f>
        <v>1409</v>
      </c>
      <c r="E24" s="160" t="s">
        <v>140</v>
      </c>
      <c r="F24" s="161">
        <f>+E15-C28</f>
        <v>0.8815068493150684</v>
      </c>
    </row>
    <row r="25" spans="1:10">
      <c r="A25" s="139"/>
      <c r="B25" s="200" t="s">
        <v>17</v>
      </c>
      <c r="C25" s="201" t="s">
        <v>38</v>
      </c>
      <c r="D25" s="202" t="s">
        <v>141</v>
      </c>
      <c r="E25" s="203" t="s">
        <v>142</v>
      </c>
    </row>
    <row r="26" spans="1:10">
      <c r="A26" s="204" t="s">
        <v>20</v>
      </c>
      <c r="B26" s="162">
        <f>365*C26</f>
        <v>116.8</v>
      </c>
      <c r="C26" s="654">
        <f>+IF(I5&gt;2,0.22+0.1*(I5-2),0.22)</f>
        <v>0.32</v>
      </c>
      <c r="D26" s="163">
        <f>$D$23*C26</f>
        <v>3.4604266666666561</v>
      </c>
      <c r="E26" s="205">
        <f>$D$23*B26</f>
        <v>1263.0557333333293</v>
      </c>
      <c r="F26" s="198"/>
    </row>
    <row r="27" spans="1:10">
      <c r="A27" s="204" t="s">
        <v>28</v>
      </c>
      <c r="B27" s="162">
        <f>+G22-B26-B28</f>
        <v>333.00000000000006</v>
      </c>
      <c r="C27" s="233">
        <f>+B27/365</f>
        <v>0.91232876712328781</v>
      </c>
      <c r="D27" s="163">
        <f t="shared" ref="D27:D29" si="6">$D$23*C27</f>
        <v>9.8657712328766838</v>
      </c>
      <c r="E27" s="205">
        <f t="shared" ref="E27:E29" si="7">$D$23*B27</f>
        <v>3601.0064999999895</v>
      </c>
      <c r="F27" s="198"/>
    </row>
    <row r="28" spans="1:10">
      <c r="A28" s="204" t="s">
        <v>16</v>
      </c>
      <c r="B28" s="162">
        <f>365*C28</f>
        <v>164.25</v>
      </c>
      <c r="C28" s="654">
        <f>+F13*0.45</f>
        <v>0.45</v>
      </c>
      <c r="D28" s="163">
        <f t="shared" si="6"/>
        <v>4.8662249999999849</v>
      </c>
      <c r="E28" s="205">
        <f t="shared" si="7"/>
        <v>1776.1721249999944</v>
      </c>
      <c r="F28" s="198"/>
    </row>
    <row r="29" spans="1:10">
      <c r="A29" s="204" t="s">
        <v>122</v>
      </c>
      <c r="B29" s="162">
        <f>+H22</f>
        <v>794.94999999999993</v>
      </c>
      <c r="C29" s="163">
        <f>+B29/d_inv</f>
        <v>7.9494999999999996</v>
      </c>
      <c r="D29" s="163">
        <f t="shared" si="6"/>
        <v>85.964568083333063</v>
      </c>
      <c r="E29" s="205">
        <f t="shared" si="7"/>
        <v>8596.4568083333052</v>
      </c>
      <c r="F29" s="198"/>
    </row>
    <row r="30" spans="1:10" ht="15" thickBot="1">
      <c r="A30" s="206" t="s">
        <v>152</v>
      </c>
      <c r="B30" s="207">
        <f>SUM(B26:B29)</f>
        <v>1409</v>
      </c>
      <c r="C30" s="208">
        <f t="shared" ref="C30:E30" si="8">SUM(C26:C29)</f>
        <v>9.6318287671232881</v>
      </c>
      <c r="D30" s="208">
        <f t="shared" si="8"/>
        <v>104.15699098287638</v>
      </c>
      <c r="E30" s="209">
        <f t="shared" si="8"/>
        <v>15236.691166666618</v>
      </c>
      <c r="F30" s="199"/>
    </row>
    <row r="31" spans="1:10" ht="18.899999999999999" thickBot="1">
      <c r="A31" s="655" t="s">
        <v>613</v>
      </c>
      <c r="B31" s="656"/>
      <c r="C31" s="656"/>
      <c r="D31" s="657" t="s">
        <v>181</v>
      </c>
    </row>
    <row r="32" spans="1:10" ht="15.9">
      <c r="A32" s="295" t="s">
        <v>177</v>
      </c>
      <c r="B32" s="658">
        <v>0.7</v>
      </c>
      <c r="C32" s="292" t="s">
        <v>178</v>
      </c>
      <c r="D32" s="293"/>
      <c r="E32" s="294">
        <f>+C27*B32*9300/B33</f>
        <v>237.57041095890415</v>
      </c>
      <c r="F32" s="199" t="s">
        <v>614</v>
      </c>
    </row>
    <row r="33" spans="1:10" ht="15.9">
      <c r="A33" s="295" t="s">
        <v>179</v>
      </c>
      <c r="B33" s="295">
        <v>25</v>
      </c>
      <c r="C33" s="659" t="s">
        <v>180</v>
      </c>
      <c r="D33" s="660"/>
      <c r="E33" s="661">
        <f>+E32/I5</f>
        <v>79.190136986301383</v>
      </c>
      <c r="F33" s="199" t="s">
        <v>615</v>
      </c>
    </row>
    <row r="34" spans="1:10">
      <c r="A34" s="199"/>
      <c r="B34" s="199"/>
      <c r="C34" s="662" t="s">
        <v>616</v>
      </c>
      <c r="D34" s="663"/>
      <c r="E34" s="663" t="s">
        <v>617</v>
      </c>
      <c r="F34" s="663" t="s">
        <v>615</v>
      </c>
    </row>
    <row r="35" spans="1:10">
      <c r="A35" s="199"/>
      <c r="B35" s="199"/>
      <c r="C35" s="199"/>
      <c r="D35" s="199"/>
      <c r="E35" s="199"/>
      <c r="F35" s="199"/>
    </row>
    <row r="36" spans="1:10">
      <c r="A36" s="199"/>
      <c r="B36" s="199"/>
      <c r="C36" s="199"/>
      <c r="D36" s="199"/>
      <c r="E36" s="199"/>
      <c r="F36" s="199"/>
    </row>
    <row r="37" spans="1:10">
      <c r="A37" s="20"/>
      <c r="E37" s="20"/>
      <c r="F37" s="164"/>
      <c r="G37" s="20"/>
      <c r="H37" s="20"/>
      <c r="I37" s="20"/>
    </row>
    <row r="38" spans="1:10">
      <c r="A38" s="101"/>
      <c r="B38" s="60" t="s">
        <v>144</v>
      </c>
      <c r="C38" s="18" t="s">
        <v>145</v>
      </c>
      <c r="D38" s="18" t="s">
        <v>146</v>
      </c>
      <c r="E38" s="18" t="s">
        <v>37</v>
      </c>
      <c r="F38" s="166"/>
      <c r="G38" s="22"/>
      <c r="H38" s="20"/>
      <c r="I38" s="20"/>
    </row>
    <row r="39" spans="1:10" ht="17.600000000000001">
      <c r="A39" s="60" t="s">
        <v>147</v>
      </c>
      <c r="B39" s="177">
        <v>1000</v>
      </c>
      <c r="C39" s="219">
        <f>+B39/15</f>
        <v>66.666666666666671</v>
      </c>
      <c r="D39" s="168">
        <f>9.6*C39</f>
        <v>640</v>
      </c>
      <c r="E39" s="169">
        <f>12*D39</f>
        <v>7680</v>
      </c>
      <c r="F39" s="96"/>
      <c r="G39" s="167" t="s">
        <v>143</v>
      </c>
      <c r="H39" s="20"/>
      <c r="I39" s="20"/>
    </row>
    <row r="40" spans="1:10">
      <c r="A40" s="687" t="s">
        <v>23</v>
      </c>
      <c r="B40" s="688"/>
      <c r="C40" s="688"/>
      <c r="D40" s="689"/>
      <c r="E40" s="168">
        <f>C22-C21</f>
        <v>1409</v>
      </c>
      <c r="F40" s="20"/>
      <c r="G40" s="20"/>
      <c r="H40" s="20"/>
      <c r="I40" s="20"/>
    </row>
    <row r="41" spans="1:10" ht="15" thickBot="1">
      <c r="A41" s="690" t="s">
        <v>24</v>
      </c>
      <c r="B41" s="691"/>
      <c r="C41" s="691"/>
      <c r="D41" s="692"/>
      <c r="E41" s="220">
        <f>'Consumo eléctrico'!H55</f>
        <v>2017</v>
      </c>
      <c r="F41" s="14"/>
      <c r="G41" s="155" t="str">
        <f>"Consumo Total "&amp;'Consumo de Gas'!$E$42&amp;" kWh/año"</f>
        <v>Consumo Total 11106 kWh/año</v>
      </c>
      <c r="H41" s="20"/>
      <c r="I41" s="20"/>
    </row>
    <row r="42" spans="1:10" ht="21" thickBot="1">
      <c r="A42" s="693" t="s">
        <v>112</v>
      </c>
      <c r="B42" s="694"/>
      <c r="C42" s="694"/>
      <c r="D42" s="694"/>
      <c r="E42" s="221">
        <f>SUM(E39:E41)</f>
        <v>11106</v>
      </c>
      <c r="F42" s="156"/>
      <c r="G42" s="20"/>
      <c r="H42" s="20"/>
      <c r="I42" s="20"/>
    </row>
    <row r="43" spans="1:10" ht="26.15">
      <c r="A43" s="14"/>
      <c r="C43" s="155"/>
      <c r="D43" s="96"/>
      <c r="E43" s="156"/>
      <c r="F43" s="675" t="s">
        <v>625</v>
      </c>
      <c r="G43" s="675"/>
      <c r="H43" s="676"/>
      <c r="I43" s="571"/>
      <c r="J43" s="572"/>
    </row>
    <row r="44" spans="1:10" ht="17.600000000000001">
      <c r="A44" s="14"/>
      <c r="C44" s="155"/>
      <c r="D44" s="96"/>
      <c r="E44" s="156"/>
      <c r="F44" s="674" t="s">
        <v>626</v>
      </c>
      <c r="G44" s="674"/>
      <c r="H44" s="674"/>
      <c r="I44" s="20"/>
    </row>
    <row r="45" spans="1:10">
      <c r="A45" s="14"/>
      <c r="C45" s="155"/>
      <c r="D45" s="96"/>
      <c r="E45" s="156"/>
      <c r="F45" s="156"/>
      <c r="G45" s="20"/>
      <c r="H45" s="20"/>
      <c r="I45" s="20"/>
    </row>
    <row r="46" spans="1:10">
      <c r="A46" s="14"/>
      <c r="D46" s="96"/>
      <c r="E46" s="156"/>
      <c r="F46" s="156"/>
      <c r="G46" s="20"/>
      <c r="H46" s="20"/>
      <c r="I46" s="20"/>
    </row>
    <row r="47" spans="1:10">
      <c r="A47" s="14"/>
      <c r="C47" s="155"/>
      <c r="D47" s="96"/>
      <c r="E47" s="156"/>
      <c r="F47" s="156"/>
      <c r="G47" s="20"/>
      <c r="H47" s="20"/>
      <c r="I47" s="20"/>
    </row>
    <row r="48" spans="1:10">
      <c r="A48" s="14"/>
      <c r="C48" s="155"/>
      <c r="D48" s="96"/>
      <c r="E48" s="156"/>
      <c r="F48" s="156"/>
      <c r="G48" s="20"/>
      <c r="H48" s="20"/>
      <c r="I48" s="20"/>
    </row>
    <row r="49" spans="1:12">
      <c r="A49" s="20"/>
      <c r="C49" s="20"/>
      <c r="D49" s="20"/>
      <c r="E49" s="20"/>
      <c r="F49" s="20"/>
      <c r="G49" s="20"/>
      <c r="H49" s="20"/>
      <c r="I49" s="140"/>
      <c r="J49" s="210"/>
      <c r="K49" s="210"/>
      <c r="L49" s="210"/>
    </row>
    <row r="50" spans="1:12">
      <c r="A50" s="20"/>
      <c r="B50" s="20"/>
      <c r="C50" s="165"/>
      <c r="D50" s="20"/>
      <c r="E50" s="20"/>
      <c r="F50" s="20"/>
      <c r="G50" s="20"/>
      <c r="H50" s="140"/>
      <c r="I50" s="211"/>
      <c r="J50" s="212"/>
      <c r="K50" s="212"/>
      <c r="L50" s="213"/>
    </row>
    <row r="51" spans="1:12">
      <c r="H51" s="210"/>
      <c r="I51" s="210"/>
      <c r="J51" s="210"/>
      <c r="K51" s="212"/>
      <c r="L51" s="212"/>
    </row>
    <row r="52" spans="1:12">
      <c r="H52" s="210"/>
      <c r="I52" s="210"/>
      <c r="J52" s="210"/>
      <c r="K52" s="210"/>
      <c r="L52" s="210"/>
    </row>
    <row r="53" spans="1:12">
      <c r="H53" s="23"/>
      <c r="I53" s="23"/>
      <c r="J53" s="23"/>
      <c r="K53" s="23"/>
      <c r="L53" s="23"/>
    </row>
    <row r="54" spans="1:12">
      <c r="H54" s="23"/>
      <c r="I54" s="23"/>
      <c r="J54" s="23"/>
      <c r="K54" s="23"/>
      <c r="L54" s="23"/>
    </row>
    <row r="55" spans="1:12">
      <c r="H55" s="23"/>
      <c r="I55" s="23"/>
      <c r="J55" s="23"/>
      <c r="K55" s="23"/>
      <c r="L55" s="23"/>
    </row>
    <row r="56" spans="1:12">
      <c r="H56" s="23"/>
      <c r="I56" s="23"/>
      <c r="J56" s="23"/>
      <c r="K56" s="23"/>
      <c r="L56" s="23"/>
    </row>
    <row r="57" spans="1:12">
      <c r="H57" s="23"/>
      <c r="I57" s="23"/>
      <c r="J57" s="23"/>
      <c r="K57" s="23"/>
      <c r="L57" s="23"/>
    </row>
    <row r="58" spans="1:12">
      <c r="E58" s="678">
        <v>44635</v>
      </c>
      <c r="F58" s="741">
        <v>43</v>
      </c>
      <c r="H58" s="23"/>
      <c r="I58" s="23"/>
      <c r="J58" s="23"/>
      <c r="K58" s="23"/>
      <c r="L58" s="23"/>
    </row>
    <row r="59" spans="1:12">
      <c r="E59" s="678">
        <v>44635</v>
      </c>
      <c r="F59" s="741">
        <v>135.75</v>
      </c>
    </row>
    <row r="60" spans="1:12">
      <c r="E60" s="678">
        <v>44635</v>
      </c>
      <c r="F60" s="741">
        <v>225.42</v>
      </c>
    </row>
    <row r="61" spans="1:12">
      <c r="E61" s="678">
        <v>44635</v>
      </c>
      <c r="F61" s="741"/>
    </row>
    <row r="62" spans="1:12">
      <c r="E62" s="678">
        <v>44635</v>
      </c>
      <c r="F62" s="741"/>
    </row>
    <row r="63" spans="1:12">
      <c r="E63" s="677">
        <v>44635</v>
      </c>
      <c r="F63" s="742"/>
    </row>
    <row r="65" spans="1:19" ht="18.45">
      <c r="A65" s="640" t="s">
        <v>595</v>
      </c>
      <c r="B65" s="641"/>
      <c r="C65" s="642"/>
      <c r="D65" s="643"/>
    </row>
    <row r="66" spans="1:19" ht="18.45">
      <c r="A66" s="640" t="s">
        <v>596</v>
      </c>
      <c r="B66" s="480"/>
      <c r="C66" s="480"/>
      <c r="D66" s="480"/>
    </row>
    <row r="68" spans="1:19" ht="17.600000000000001">
      <c r="B68" s="644" t="s">
        <v>597</v>
      </c>
      <c r="C68" s="644" t="s">
        <v>598</v>
      </c>
      <c r="D68" s="644" t="s">
        <v>601</v>
      </c>
      <c r="N68" s="3" t="s">
        <v>611</v>
      </c>
    </row>
    <row r="69" spans="1:19" ht="35.15">
      <c r="B69" s="644"/>
      <c r="C69" s="644" t="s">
        <v>599</v>
      </c>
      <c r="D69" s="644" t="s">
        <v>601</v>
      </c>
      <c r="F69" s="647" t="s">
        <v>602</v>
      </c>
      <c r="G69" s="645" t="s">
        <v>603</v>
      </c>
      <c r="H69" s="644">
        <v>9</v>
      </c>
      <c r="I69" s="646" t="s">
        <v>604</v>
      </c>
      <c r="K69" s="647" t="s">
        <v>20</v>
      </c>
      <c r="L69" s="650">
        <f>+(H69+H70)/61</f>
        <v>0.31147540983606559</v>
      </c>
      <c r="M69" s="646" t="s">
        <v>610</v>
      </c>
      <c r="N69" s="649">
        <f>+L69*1.15</f>
        <v>0.3581967213114754</v>
      </c>
      <c r="O69" s="651" t="s">
        <v>612</v>
      </c>
      <c r="P69" s="652">
        <f>+N69*10.8</f>
        <v>3.8685245901639345</v>
      </c>
      <c r="Q69" s="651" t="s">
        <v>335</v>
      </c>
      <c r="R69" s="653">
        <f>+P69*30.6</f>
        <v>118.3768524590164</v>
      </c>
      <c r="S69" s="651" t="s">
        <v>146</v>
      </c>
    </row>
    <row r="70" spans="1:19" ht="52.75">
      <c r="B70" s="644"/>
      <c r="C70" s="644" t="s">
        <v>600</v>
      </c>
      <c r="D70" s="644" t="s">
        <v>601</v>
      </c>
      <c r="F70" s="648"/>
      <c r="G70" s="645" t="s">
        <v>603</v>
      </c>
      <c r="H70" s="644">
        <v>10</v>
      </c>
      <c r="I70" s="646" t="s">
        <v>605</v>
      </c>
    </row>
    <row r="71" spans="1:19">
      <c r="F71" s="648"/>
    </row>
    <row r="72" spans="1:19" ht="47.6">
      <c r="F72" s="647" t="s">
        <v>606</v>
      </c>
      <c r="G72" s="645" t="s">
        <v>603</v>
      </c>
      <c r="H72" s="644">
        <v>12</v>
      </c>
      <c r="I72" s="646" t="s">
        <v>604</v>
      </c>
      <c r="K72" s="647" t="s">
        <v>28</v>
      </c>
      <c r="L72" s="650">
        <f>+(H72+H73)/61</f>
        <v>0.44262295081967212</v>
      </c>
      <c r="M72" s="646" t="s">
        <v>610</v>
      </c>
      <c r="N72" s="649">
        <f>+L72*1.15</f>
        <v>0.50901639344262295</v>
      </c>
      <c r="O72" s="651" t="s">
        <v>612</v>
      </c>
      <c r="P72" s="652">
        <f>+N72*10.8</f>
        <v>5.4973770491803284</v>
      </c>
      <c r="Q72" s="651" t="s">
        <v>335</v>
      </c>
      <c r="R72" s="653">
        <f>+P72*30.6</f>
        <v>168.21973770491806</v>
      </c>
      <c r="S72" s="651" t="s">
        <v>146</v>
      </c>
    </row>
    <row r="73" spans="1:19" ht="17.600000000000001">
      <c r="F73" s="648"/>
      <c r="G73" s="645" t="s">
        <v>603</v>
      </c>
      <c r="H73" s="644">
        <v>15</v>
      </c>
      <c r="I73" s="646" t="s">
        <v>605</v>
      </c>
      <c r="L73" s="20"/>
      <c r="M73" s="20"/>
      <c r="N73" s="20"/>
    </row>
    <row r="74" spans="1:19" ht="18.45">
      <c r="F74" s="648"/>
      <c r="L74" s="215"/>
      <c r="M74" s="215"/>
      <c r="N74" s="20"/>
    </row>
    <row r="75" spans="1:19" ht="31.75">
      <c r="F75" s="647" t="s">
        <v>607</v>
      </c>
      <c r="G75" s="645" t="s">
        <v>603</v>
      </c>
      <c r="H75" s="644">
        <v>4</v>
      </c>
      <c r="I75" s="646" t="s">
        <v>605</v>
      </c>
      <c r="K75" s="647" t="s">
        <v>122</v>
      </c>
      <c r="L75" s="650">
        <f>+(H75)/31</f>
        <v>0.12903225806451613</v>
      </c>
      <c r="M75" s="646" t="s">
        <v>610</v>
      </c>
      <c r="N75" s="649">
        <f>+L75*1.15</f>
        <v>0.14838709677419354</v>
      </c>
      <c r="O75" s="651" t="s">
        <v>612</v>
      </c>
      <c r="P75" s="652">
        <f>+N75*10.8</f>
        <v>1.6025806451612903</v>
      </c>
      <c r="Q75" s="651" t="s">
        <v>335</v>
      </c>
      <c r="R75" s="653">
        <f>+P75*30.6</f>
        <v>49.038967741935487</v>
      </c>
      <c r="S75" s="651" t="s">
        <v>146</v>
      </c>
    </row>
    <row r="76" spans="1:19" ht="15.9">
      <c r="F76" s="648"/>
      <c r="L76" s="214"/>
      <c r="M76" s="216"/>
      <c r="N76" s="20"/>
    </row>
    <row r="77" spans="1:19" ht="17.600000000000001">
      <c r="F77" s="647" t="s">
        <v>608</v>
      </c>
      <c r="G77" s="645" t="s">
        <v>603</v>
      </c>
      <c r="H77" s="644">
        <v>2</v>
      </c>
      <c r="I77" s="646" t="s">
        <v>609</v>
      </c>
      <c r="K77" s="647" t="s">
        <v>4</v>
      </c>
      <c r="L77" s="650">
        <f>+(H77)/31</f>
        <v>6.4516129032258063E-2</v>
      </c>
      <c r="M77" s="646" t="s">
        <v>610</v>
      </c>
      <c r="N77" s="649">
        <f>+L77*1.15</f>
        <v>7.4193548387096769E-2</v>
      </c>
      <c r="O77" s="651" t="s">
        <v>612</v>
      </c>
      <c r="P77" s="652">
        <f>+N77*10.8</f>
        <v>0.80129032258064514</v>
      </c>
      <c r="Q77" s="651" t="s">
        <v>335</v>
      </c>
      <c r="R77" s="653">
        <f>+P77*30.6</f>
        <v>24.519483870967743</v>
      </c>
      <c r="S77" s="651" t="s">
        <v>146</v>
      </c>
    </row>
    <row r="78" spans="1:19" ht="15.9">
      <c r="L78" s="214"/>
      <c r="M78" s="216"/>
      <c r="N78" s="20"/>
    </row>
    <row r="79" spans="1:19" ht="15.9">
      <c r="L79" s="217"/>
      <c r="M79" s="218"/>
      <c r="N79" s="20"/>
    </row>
    <row r="80" spans="1:19">
      <c r="L80" s="20"/>
      <c r="M80" s="20"/>
      <c r="N80" s="20"/>
    </row>
    <row r="81" spans="12:14">
      <c r="L81" s="20"/>
      <c r="M81" s="20"/>
      <c r="N81" s="20"/>
    </row>
    <row r="82" spans="12:14">
      <c r="L82" s="20"/>
      <c r="M82" s="20"/>
      <c r="N82" s="20"/>
    </row>
    <row r="83" spans="12:14">
      <c r="L83" s="20"/>
      <c r="M83" s="20"/>
      <c r="N83" s="20"/>
    </row>
  </sheetData>
  <sheetProtection algorithmName="SHA-512" hashValue="f8USWp512s4dHZjGtrQUC4wbMItUXfcwz8WokQGI6hvGtQ17G9uUGPDfS13Otyd2o8hAzPd4vT1N7p0zzNqcfw==" saltValue="pQXMrch/p5JG81zsu0kZ8g==" spinCount="100000" sheet="1" objects="1" scenarios="1"/>
  <mergeCells count="9">
    <mergeCell ref="A40:D40"/>
    <mergeCell ref="A41:D41"/>
    <mergeCell ref="A42:D42"/>
    <mergeCell ref="E1:J1"/>
    <mergeCell ref="G3:H3"/>
    <mergeCell ref="G5:H5"/>
    <mergeCell ref="G6:H6"/>
    <mergeCell ref="G7:H7"/>
    <mergeCell ref="G8:H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autoPict="0">
                <anchor moveWithCells="1" sizeWithCells="1">
                  <from>
                    <xdr:col>9</xdr:col>
                    <xdr:colOff>70757</xdr:colOff>
                    <xdr:row>9</xdr:row>
                    <xdr:rowOff>21771</xdr:rowOff>
                  </from>
                  <to>
                    <xdr:col>10</xdr:col>
                    <xdr:colOff>0</xdr:colOff>
                    <xdr:row>12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Spinner 4">
              <controlPr defaultSize="0" autoPict="0">
                <anchor moveWithCells="1" sizeWithCells="1">
                  <from>
                    <xdr:col>6</xdr:col>
                    <xdr:colOff>59871</xdr:colOff>
                    <xdr:row>11</xdr:row>
                    <xdr:rowOff>5443</xdr:rowOff>
                  </from>
                  <to>
                    <xdr:col>6</xdr:col>
                    <xdr:colOff>669471</xdr:colOff>
                    <xdr:row>12</xdr:row>
                    <xdr:rowOff>223157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D1E2-BD59-4F43-A3BE-67F83380FF9B}">
  <dimension ref="A1:CB1006"/>
  <sheetViews>
    <sheetView topLeftCell="A7" workbookViewId="0">
      <selection activeCell="P16" sqref="P16"/>
    </sheetView>
  </sheetViews>
  <sheetFormatPr baseColWidth="10" defaultColWidth="13.61328125" defaultRowHeight="15" customHeight="1"/>
  <cols>
    <col min="1" max="1" width="12.765625" style="298" customWidth="1"/>
    <col min="2" max="2" width="11.15234375" style="298" customWidth="1"/>
    <col min="3" max="3" width="13.07421875" style="298" customWidth="1"/>
    <col min="4" max="7" width="10.07421875" style="298" customWidth="1"/>
    <col min="8" max="8" width="11.69140625" style="298" customWidth="1"/>
    <col min="9" max="9" width="11.53515625" style="298" customWidth="1"/>
    <col min="10" max="11" width="14.07421875" style="298" customWidth="1"/>
    <col min="12" max="14" width="10.07421875" style="298" customWidth="1"/>
    <col min="15" max="15" width="12.07421875" style="298" customWidth="1"/>
    <col min="16" max="16" width="14" style="298" customWidth="1"/>
    <col min="17" max="18" width="10.07421875" style="298" customWidth="1"/>
    <col min="19" max="19" width="18" style="298" customWidth="1"/>
    <col min="20" max="20" width="15.84375" style="298" customWidth="1"/>
    <col min="21" max="21" width="10.07421875" style="298" customWidth="1"/>
    <col min="22" max="22" width="12.53515625" style="298" customWidth="1"/>
    <col min="23" max="23" width="21" style="298" customWidth="1"/>
    <col min="24" max="24" width="11.61328125" style="298" customWidth="1"/>
    <col min="25" max="25" width="11.765625" style="298" customWidth="1"/>
    <col min="26" max="27" width="10.07421875" style="298" customWidth="1"/>
    <col min="28" max="28" width="28.53515625" style="298" customWidth="1"/>
    <col min="29" max="29" width="11.15234375" style="298" customWidth="1"/>
    <col min="30" max="30" width="11.84375" style="298" customWidth="1"/>
    <col min="31" max="31" width="11.3828125" style="298" customWidth="1"/>
    <col min="32" max="33" width="10.07421875" style="298" customWidth="1"/>
    <col min="34" max="34" width="10.765625" style="298" customWidth="1"/>
    <col min="35" max="37" width="10.07421875" style="298" customWidth="1"/>
    <col min="38" max="38" width="10.765625" style="298" customWidth="1"/>
    <col min="39" max="39" width="12.921875" style="298" customWidth="1"/>
    <col min="40" max="40" width="11.84375" style="298" customWidth="1"/>
    <col min="41" max="41" width="10.07421875" style="298" customWidth="1"/>
    <col min="42" max="42" width="12.921875" style="298" customWidth="1"/>
    <col min="43" max="43" width="10.765625" style="298" customWidth="1"/>
    <col min="44" max="44" width="15.3046875" style="298" customWidth="1"/>
    <col min="45" max="45" width="13.69140625" style="298" customWidth="1"/>
    <col min="46" max="50" width="10.07421875" style="298" customWidth="1"/>
    <col min="51" max="51" width="13.61328125" style="298" customWidth="1"/>
    <col min="52" max="52" width="10.07421875" style="298" customWidth="1"/>
    <col min="53" max="53" width="17.3828125" style="298" customWidth="1"/>
    <col min="54" max="54" width="14.53515625" style="298" customWidth="1"/>
    <col min="55" max="58" width="10.07421875" style="298" customWidth="1"/>
    <col min="59" max="59" width="12.53515625" style="298" customWidth="1"/>
    <col min="60" max="70" width="10.07421875" style="298" customWidth="1"/>
    <col min="71" max="16384" width="13.61328125" style="298"/>
  </cols>
  <sheetData>
    <row r="1" spans="1:80" ht="14.25" customHeight="1">
      <c r="N1" s="299" t="s">
        <v>166</v>
      </c>
      <c r="S1" s="299" t="s">
        <v>166</v>
      </c>
      <c r="T1" s="299" t="s">
        <v>188</v>
      </c>
      <c r="U1" s="299" t="s">
        <v>189</v>
      </c>
      <c r="V1" s="299"/>
    </row>
    <row r="2" spans="1:80" ht="14.25" customHeight="1">
      <c r="S2" s="1"/>
      <c r="T2" s="222" t="s">
        <v>190</v>
      </c>
      <c r="U2" t="s">
        <v>449</v>
      </c>
      <c r="V2"/>
      <c r="X2" s="301" t="s">
        <v>192</v>
      </c>
      <c r="AA2" s="300" t="s">
        <v>191</v>
      </c>
      <c r="AE2" s="463" t="s">
        <v>471</v>
      </c>
    </row>
    <row r="3" spans="1:80" ht="14.25" customHeight="1">
      <c r="C3" s="449" t="s">
        <v>39</v>
      </c>
      <c r="S3" s="435" t="s">
        <v>465</v>
      </c>
      <c r="T3" s="436">
        <v>202</v>
      </c>
      <c r="U3" s="436">
        <v>10.8</v>
      </c>
      <c r="V3" s="437" t="s">
        <v>450</v>
      </c>
      <c r="Y3" s="301"/>
      <c r="Z3" s="301" t="s">
        <v>166</v>
      </c>
      <c r="AA3" s="431" t="s">
        <v>193</v>
      </c>
      <c r="AB3" s="4"/>
      <c r="AC3" s="4"/>
      <c r="AD3" s="4"/>
    </row>
    <row r="4" spans="1:80" ht="14.25" customHeight="1">
      <c r="A4" s="455" t="s">
        <v>194</v>
      </c>
      <c r="B4" s="454" t="s">
        <v>147</v>
      </c>
      <c r="C4" s="450" t="s">
        <v>463</v>
      </c>
      <c r="D4" s="304" t="s">
        <v>144</v>
      </c>
      <c r="E4" s="305" t="s">
        <v>195</v>
      </c>
      <c r="F4" s="304" t="s">
        <v>196</v>
      </c>
      <c r="G4" s="304" t="s">
        <v>197</v>
      </c>
      <c r="H4" s="306" t="s">
        <v>198</v>
      </c>
      <c r="I4" s="306" t="s">
        <v>199</v>
      </c>
      <c r="J4" s="621" t="s">
        <v>207</v>
      </c>
      <c r="K4" s="622" t="s">
        <v>548</v>
      </c>
      <c r="L4" s="304" t="s">
        <v>200</v>
      </c>
      <c r="M4" s="304" t="s">
        <v>146</v>
      </c>
      <c r="N4" s="392" t="s">
        <v>37</v>
      </c>
      <c r="O4" s="307" t="s">
        <v>201</v>
      </c>
      <c r="P4" s="389" t="s">
        <v>202</v>
      </c>
      <c r="Q4" s="308" t="s">
        <v>203</v>
      </c>
      <c r="S4" s="438" t="s">
        <v>204</v>
      </c>
      <c r="T4" s="439">
        <v>244</v>
      </c>
      <c r="U4" s="440">
        <f>+U3*1.17</f>
        <v>12.635999999999999</v>
      </c>
      <c r="V4" s="437" t="s">
        <v>451</v>
      </c>
      <c r="X4" s="309" t="s">
        <v>205</v>
      </c>
      <c r="Y4" s="301"/>
      <c r="Z4" s="301"/>
      <c r="AA4" s="4"/>
      <c r="AB4" s="5" t="s">
        <v>206</v>
      </c>
      <c r="AC4" s="432" t="s">
        <v>207</v>
      </c>
      <c r="AD4" s="433" t="s">
        <v>208</v>
      </c>
      <c r="AE4" s="432" t="s">
        <v>207</v>
      </c>
      <c r="AF4" s="433" t="s">
        <v>208</v>
      </c>
    </row>
    <row r="5" spans="1:80" ht="14.25" customHeight="1">
      <c r="A5" s="455" t="s">
        <v>209</v>
      </c>
      <c r="B5" s="311" t="s">
        <v>210</v>
      </c>
      <c r="C5" s="726">
        <v>1.5</v>
      </c>
      <c r="D5" s="727">
        <v>1100</v>
      </c>
      <c r="E5" s="725">
        <v>2000</v>
      </c>
      <c r="F5" s="306">
        <f>+D5*12+E5</f>
        <v>15200</v>
      </c>
      <c r="G5" s="725">
        <v>14</v>
      </c>
      <c r="H5" s="313">
        <f>10/G5</f>
        <v>0.7142857142857143</v>
      </c>
      <c r="I5" s="314">
        <f>3600*H5/C5</f>
        <v>1714.2857142857144</v>
      </c>
      <c r="J5" s="314">
        <f>+I5/3.6</f>
        <v>476.1904761904762</v>
      </c>
      <c r="K5" s="314">
        <f>+J5*O5</f>
        <v>118.57142857142857</v>
      </c>
      <c r="L5" s="315">
        <f>+F5/G5</f>
        <v>1085.7142857142858</v>
      </c>
      <c r="M5" s="302">
        <f t="shared" ref="M5:M7" si="0">9.6*G5</f>
        <v>134.4</v>
      </c>
      <c r="N5" s="393">
        <f>+L5*$U$5</f>
        <v>10392.442666666666</v>
      </c>
      <c r="O5" s="316">
        <v>0.249</v>
      </c>
      <c r="P5" s="390">
        <f>+N5*O5</f>
        <v>2587.7182239999997</v>
      </c>
      <c r="Q5" s="308"/>
      <c r="S5" s="438" t="s">
        <v>211</v>
      </c>
      <c r="T5" s="439">
        <v>249</v>
      </c>
      <c r="U5" s="440">
        <f>+U17</f>
        <v>9.5719866666666658</v>
      </c>
      <c r="V5" s="437" t="s">
        <v>452</v>
      </c>
      <c r="X5" s="317">
        <f>100/30</f>
        <v>3.3333333333333335</v>
      </c>
      <c r="Y5" s="312" t="s">
        <v>212</v>
      </c>
      <c r="Z5" s="301"/>
      <c r="AA5" s="434">
        <v>20</v>
      </c>
      <c r="AB5" s="444" t="s">
        <v>213</v>
      </c>
      <c r="AC5" s="448">
        <f>1000/AA6</f>
        <v>160.65519166666664</v>
      </c>
      <c r="AD5" s="446">
        <f>+(AC5/1000)*$T$9</f>
        <v>42.894936174999991</v>
      </c>
      <c r="AE5" s="462">
        <v>11.111111111111111</v>
      </c>
      <c r="AF5" s="464">
        <v>2.9666666666666668</v>
      </c>
      <c r="AG5" s="458" t="s">
        <v>469</v>
      </c>
      <c r="AH5" s="458"/>
    </row>
    <row r="6" spans="1:80" ht="14.25" customHeight="1">
      <c r="A6" s="455" t="s">
        <v>214</v>
      </c>
      <c r="B6" s="311" t="s">
        <v>210</v>
      </c>
      <c r="C6" s="726">
        <v>1</v>
      </c>
      <c r="D6" s="727">
        <v>500</v>
      </c>
      <c r="E6" s="725">
        <v>0</v>
      </c>
      <c r="F6" s="306">
        <f>+D6*12+E6</f>
        <v>6000</v>
      </c>
      <c r="G6" s="725">
        <v>12</v>
      </c>
      <c r="H6" s="313">
        <f t="shared" ref="H6:H7" si="1">10/G6</f>
        <v>0.83333333333333337</v>
      </c>
      <c r="I6" s="314">
        <f t="shared" ref="I6:I7" si="2">3600*H6/C6</f>
        <v>3000</v>
      </c>
      <c r="J6" s="314">
        <f t="shared" ref="J6:J7" si="3">+I6/3.6</f>
        <v>833.33333333333326</v>
      </c>
      <c r="K6" s="314">
        <f t="shared" ref="K6:K7" si="4">+J6*O6</f>
        <v>207.49999999999997</v>
      </c>
      <c r="L6" s="315">
        <f t="shared" ref="L6:L7" si="5">+F6/G6</f>
        <v>500</v>
      </c>
      <c r="M6" s="302">
        <f t="shared" si="0"/>
        <v>115.19999999999999</v>
      </c>
      <c r="N6" s="393">
        <f t="shared" ref="N6:N7" si="6">+L6*$U$5</f>
        <v>4785.9933333333329</v>
      </c>
      <c r="O6" s="316">
        <v>0.249</v>
      </c>
      <c r="P6" s="390">
        <f t="shared" ref="P6:P10" si="7">+N6*O6</f>
        <v>1191.7123399999998</v>
      </c>
      <c r="Q6" s="308"/>
      <c r="S6" s="438" t="s">
        <v>215</v>
      </c>
      <c r="T6" s="439">
        <v>255</v>
      </c>
      <c r="U6" s="440">
        <f t="shared" ref="U6" si="8">8248*10.8/9300</f>
        <v>9.5783225806451622</v>
      </c>
      <c r="V6" s="437" t="s">
        <v>452</v>
      </c>
      <c r="X6" s="319" t="s">
        <v>216</v>
      </c>
      <c r="Y6" s="443">
        <f>+X5*AA5</f>
        <v>66.666666666666671</v>
      </c>
      <c r="Z6" s="319" t="s">
        <v>212</v>
      </c>
      <c r="AA6" s="289">
        <f>+Y6/$U$9</f>
        <v>6.2245109518454722</v>
      </c>
      <c r="AB6" s="445" t="s">
        <v>448</v>
      </c>
      <c r="AC6" s="4"/>
      <c r="AD6" s="447"/>
      <c r="AE6" s="462"/>
      <c r="AF6" s="464"/>
      <c r="AG6" s="458"/>
      <c r="AH6" s="458"/>
    </row>
    <row r="7" spans="1:80" ht="14.25" customHeight="1">
      <c r="A7" s="455" t="s">
        <v>217</v>
      </c>
      <c r="B7" s="311" t="s">
        <v>210</v>
      </c>
      <c r="C7" s="726">
        <v>1</v>
      </c>
      <c r="D7" s="727">
        <v>500</v>
      </c>
      <c r="E7" s="725">
        <v>0</v>
      </c>
      <c r="F7" s="306">
        <f>+D7*12+E7</f>
        <v>6000</v>
      </c>
      <c r="G7" s="725">
        <v>10</v>
      </c>
      <c r="H7" s="313">
        <f t="shared" si="1"/>
        <v>1</v>
      </c>
      <c r="I7" s="314">
        <f t="shared" si="2"/>
        <v>3600</v>
      </c>
      <c r="J7" s="314">
        <f t="shared" si="3"/>
        <v>1000</v>
      </c>
      <c r="K7" s="314">
        <f t="shared" si="4"/>
        <v>249</v>
      </c>
      <c r="L7" s="315">
        <f t="shared" si="5"/>
        <v>600</v>
      </c>
      <c r="M7" s="302">
        <f t="shared" si="0"/>
        <v>96</v>
      </c>
      <c r="N7" s="393">
        <f t="shared" si="6"/>
        <v>5743.1919999999991</v>
      </c>
      <c r="O7" s="316">
        <v>0.249</v>
      </c>
      <c r="P7" s="390">
        <f t="shared" si="7"/>
        <v>1430.0548079999999</v>
      </c>
      <c r="Q7" s="308"/>
      <c r="S7" s="438" t="s">
        <v>218</v>
      </c>
      <c r="T7" s="439">
        <v>259</v>
      </c>
      <c r="U7" s="440">
        <f>+U18</f>
        <v>10.401047222222223</v>
      </c>
      <c r="V7" s="437" t="s">
        <v>452</v>
      </c>
      <c r="X7" s="317">
        <f>100/20</f>
        <v>5</v>
      </c>
      <c r="Y7" s="312" t="s">
        <v>212</v>
      </c>
      <c r="Z7" s="301"/>
      <c r="AA7" s="434">
        <v>20</v>
      </c>
      <c r="AB7" s="444" t="s">
        <v>467</v>
      </c>
      <c r="AC7" s="448">
        <f>1000/AA8</f>
        <v>107.10346111111112</v>
      </c>
      <c r="AD7" s="446">
        <f>+(AC7/1000)*$T$9</f>
        <v>28.596624116666668</v>
      </c>
      <c r="AE7" s="462">
        <v>16.666666666666668</v>
      </c>
      <c r="AF7" s="464">
        <v>4.45</v>
      </c>
      <c r="AG7" s="458" t="s">
        <v>469</v>
      </c>
      <c r="AH7" s="458"/>
    </row>
    <row r="8" spans="1:80" ht="14.25" customHeight="1">
      <c r="A8" s="456" t="s">
        <v>219</v>
      </c>
      <c r="B8" s="320"/>
      <c r="C8" s="414"/>
      <c r="D8" s="415"/>
      <c r="E8" s="415"/>
      <c r="F8" s="415"/>
      <c r="G8" s="416"/>
      <c r="H8" s="416"/>
      <c r="I8" s="417">
        <f t="shared" ref="I8" si="9">3600*H8</f>
        <v>0</v>
      </c>
      <c r="J8" s="417"/>
      <c r="K8" s="417"/>
      <c r="L8" s="413">
        <f t="shared" ref="L8:M8" si="10">SUM(L5:L7)</f>
        <v>2185.7142857142858</v>
      </c>
      <c r="M8" s="413">
        <f t="shared" si="10"/>
        <v>345.6</v>
      </c>
      <c r="N8" s="413">
        <f>SUM(N5:N7)</f>
        <v>20921.627999999997</v>
      </c>
      <c r="O8" s="413"/>
      <c r="P8" s="413">
        <f t="shared" ref="P8" si="11">SUM(P5:P7)</f>
        <v>5209.4853719999992</v>
      </c>
      <c r="Q8" s="321"/>
      <c r="S8" s="438" t="s">
        <v>220</v>
      </c>
      <c r="T8" s="439">
        <v>264</v>
      </c>
      <c r="U8" s="440">
        <f>+U15</f>
        <v>10.805693888888889</v>
      </c>
      <c r="V8" s="437" t="s">
        <v>452</v>
      </c>
      <c r="X8" s="319" t="s">
        <v>216</v>
      </c>
      <c r="Y8" s="443">
        <f>+X7*AA7</f>
        <v>100</v>
      </c>
      <c r="Z8" s="319" t="s">
        <v>212</v>
      </c>
      <c r="AA8" s="289">
        <f>+Y8/$U$9</f>
        <v>9.3367664277682074</v>
      </c>
      <c r="AB8" s="445" t="s">
        <v>448</v>
      </c>
      <c r="AC8" s="2"/>
      <c r="AD8"/>
      <c r="AE8" s="462"/>
      <c r="AF8" s="464"/>
      <c r="AG8" s="458"/>
      <c r="AH8" s="458"/>
    </row>
    <row r="9" spans="1:80" ht="14.25" customHeight="1" thickBot="1">
      <c r="A9" s="457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9"/>
      <c r="S9" s="438" t="s">
        <v>222</v>
      </c>
      <c r="T9" s="439">
        <v>267</v>
      </c>
      <c r="U9" s="440">
        <f>+U19</f>
        <v>10.710346111111111</v>
      </c>
      <c r="V9" s="437" t="s">
        <v>452</v>
      </c>
      <c r="AA9"/>
      <c r="AB9"/>
      <c r="AC9" s="2"/>
      <c r="AD9"/>
      <c r="AE9" s="462"/>
      <c r="AF9" s="464"/>
      <c r="AG9" s="458"/>
      <c r="AH9" s="458"/>
      <c r="BA9" s="300" t="s">
        <v>223</v>
      </c>
    </row>
    <row r="10" spans="1:80" ht="14.25" customHeight="1">
      <c r="A10" s="458"/>
      <c r="B10" s="311"/>
      <c r="C10" s="726" t="s">
        <v>224</v>
      </c>
      <c r="D10" s="312"/>
      <c r="E10" s="312"/>
      <c r="F10" s="306"/>
      <c r="G10" s="451"/>
      <c r="H10" s="312"/>
      <c r="I10" s="314"/>
      <c r="J10" s="314"/>
      <c r="K10" s="314"/>
      <c r="L10" s="315"/>
      <c r="M10" s="302"/>
      <c r="N10" s="393"/>
      <c r="O10" s="308"/>
      <c r="P10" s="390">
        <f t="shared" si="7"/>
        <v>0</v>
      </c>
      <c r="Q10" s="308"/>
      <c r="S10" s="438" t="s">
        <v>453</v>
      </c>
      <c r="T10" s="439">
        <v>346</v>
      </c>
      <c r="U10" s="440">
        <v>8.6999999999999993</v>
      </c>
      <c r="V10" s="437" t="s">
        <v>451</v>
      </c>
      <c r="X10" s="317">
        <f>100/20</f>
        <v>5</v>
      </c>
      <c r="Y10" s="312" t="s">
        <v>212</v>
      </c>
      <c r="Z10" s="301"/>
      <c r="AA10" s="434">
        <v>40</v>
      </c>
      <c r="AB10" s="444" t="s">
        <v>468</v>
      </c>
      <c r="AC10" s="448">
        <f>1000/AA11</f>
        <v>53.551730555555558</v>
      </c>
      <c r="AD10" s="446">
        <f>+(AC10/1000)*$T$9</f>
        <v>14.298312058333334</v>
      </c>
      <c r="AE10" s="462">
        <v>8.3333333333333339</v>
      </c>
      <c r="AF10" s="464">
        <v>2.2250000000000001</v>
      </c>
      <c r="AG10" s="458" t="s">
        <v>470</v>
      </c>
      <c r="AH10" s="458"/>
      <c r="BA10" s="322" t="s">
        <v>225</v>
      </c>
      <c r="BB10" s="322" t="s">
        <v>226</v>
      </c>
      <c r="BC10" s="322" t="s">
        <v>227</v>
      </c>
      <c r="BD10" s="301" t="s">
        <v>228</v>
      </c>
      <c r="BE10" s="301"/>
      <c r="BF10" s="322" t="s">
        <v>226</v>
      </c>
      <c r="BG10" s="322" t="s">
        <v>227</v>
      </c>
      <c r="BH10" s="322"/>
      <c r="BI10" s="322"/>
      <c r="BJ10" s="322"/>
      <c r="BK10" s="322"/>
      <c r="BL10" s="322"/>
      <c r="BM10" s="322"/>
      <c r="BN10" s="322"/>
      <c r="BO10" s="310"/>
      <c r="BP10" s="310"/>
      <c r="BQ10" s="323"/>
    </row>
    <row r="11" spans="1:80" ht="14.25" customHeight="1">
      <c r="A11" s="455" t="s">
        <v>229</v>
      </c>
      <c r="B11" s="454" t="s">
        <v>230</v>
      </c>
      <c r="C11" s="726">
        <v>5</v>
      </c>
      <c r="D11" s="306">
        <f>+C11*Q11*365/(12)</f>
        <v>4562.5</v>
      </c>
      <c r="F11" s="306">
        <f>+C11*Q11*52.14</f>
        <v>7821</v>
      </c>
      <c r="G11" s="451">
        <f>+Y6</f>
        <v>66.666666666666671</v>
      </c>
      <c r="H11" s="324">
        <f>+AC5/1000</f>
        <v>0.16065519166666664</v>
      </c>
      <c r="I11" s="314">
        <f t="shared" ref="I11:I13" si="12">3600*H11</f>
        <v>578.35868999999991</v>
      </c>
      <c r="J11" s="314">
        <f>+I11/3.6</f>
        <v>160.65519166666664</v>
      </c>
      <c r="K11" s="314">
        <f>+J11*O11</f>
        <v>42.894936174999998</v>
      </c>
      <c r="L11" s="315">
        <f>+F11/G11</f>
        <v>117.315</v>
      </c>
      <c r="M11" s="302"/>
      <c r="N11" s="393">
        <f>+H11*F11</f>
        <v>1256.4842540249997</v>
      </c>
      <c r="O11" s="453">
        <f>+$T$9/1000</f>
        <v>0.26700000000000002</v>
      </c>
      <c r="P11" s="425">
        <f>+N11*O11/1000</f>
        <v>0.33548129582467495</v>
      </c>
      <c r="Q11" s="312">
        <v>30</v>
      </c>
      <c r="S11" s="438" t="s">
        <v>231</v>
      </c>
      <c r="T11" s="439">
        <v>403</v>
      </c>
      <c r="U11" s="439">
        <v>5.5</v>
      </c>
      <c r="V11" s="437" t="s">
        <v>451</v>
      </c>
      <c r="X11" s="319" t="s">
        <v>216</v>
      </c>
      <c r="Y11" s="443">
        <f>+X10*AA10</f>
        <v>200</v>
      </c>
      <c r="Z11" s="319" t="s">
        <v>212</v>
      </c>
      <c r="AA11" s="289">
        <f>+Y11/$U$9</f>
        <v>18.673532855536415</v>
      </c>
      <c r="AB11" s="445" t="s">
        <v>448</v>
      </c>
      <c r="AC11" s="2"/>
      <c r="AD11"/>
      <c r="AG11" s="458"/>
      <c r="AH11" s="458"/>
      <c r="BA11" s="322" t="s">
        <v>232</v>
      </c>
      <c r="BB11" s="322" t="s">
        <v>233</v>
      </c>
      <c r="BC11" s="325" t="s">
        <v>234</v>
      </c>
      <c r="BD11" s="326" t="s">
        <v>235</v>
      </c>
      <c r="BE11" s="327" t="s">
        <v>236</v>
      </c>
      <c r="BF11" s="326" t="s">
        <v>237</v>
      </c>
      <c r="BG11" s="322" t="s">
        <v>238</v>
      </c>
      <c r="BH11" s="322" t="s">
        <v>239</v>
      </c>
      <c r="BI11" s="322" t="s">
        <v>240</v>
      </c>
      <c r="BJ11" s="322" t="s">
        <v>241</v>
      </c>
      <c r="BK11" s="326" t="s">
        <v>242</v>
      </c>
      <c r="BL11" s="326" t="s">
        <v>243</v>
      </c>
      <c r="BM11" s="301" t="s">
        <v>243</v>
      </c>
      <c r="BN11" s="301" t="s">
        <v>243</v>
      </c>
      <c r="BO11" s="328" t="s">
        <v>244</v>
      </c>
      <c r="BP11" s="329" t="s">
        <v>244</v>
      </c>
      <c r="BQ11" s="330" t="s">
        <v>245</v>
      </c>
    </row>
    <row r="12" spans="1:80" ht="14.25" customHeight="1">
      <c r="A12" s="455" t="s">
        <v>246</v>
      </c>
      <c r="B12" s="454" t="s">
        <v>247</v>
      </c>
      <c r="C12" s="726">
        <v>0</v>
      </c>
      <c r="D12" s="306">
        <f t="shared" ref="D12:D13" si="13">+C12*Q12*365/(12*7)</f>
        <v>0</v>
      </c>
      <c r="F12" s="306">
        <f t="shared" ref="F12:F13" si="14">+C12*Q12*52.1428571428571</f>
        <v>0</v>
      </c>
      <c r="G12" s="451"/>
      <c r="H12" s="324">
        <v>8.5000000000000006E-3</v>
      </c>
      <c r="I12" s="314">
        <f t="shared" si="12"/>
        <v>30.6</v>
      </c>
      <c r="J12" s="314">
        <f t="shared" ref="J12:J13" si="15">+I12/3.6</f>
        <v>8.5</v>
      </c>
      <c r="K12" s="314">
        <f t="shared" ref="K12:K13" si="16">+J12*O12</f>
        <v>2.7795000000000001</v>
      </c>
      <c r="L12" s="315"/>
      <c r="M12" s="302"/>
      <c r="N12" s="393">
        <f t="shared" ref="N12:N13" si="17">+H12*F12</f>
        <v>0</v>
      </c>
      <c r="O12" s="453">
        <f>+$T$13/1000</f>
        <v>0.32700000000000001</v>
      </c>
      <c r="P12" s="425">
        <f>+N12*O12</f>
        <v>0</v>
      </c>
      <c r="Q12" s="312">
        <v>45</v>
      </c>
      <c r="S12" s="441" t="s">
        <v>466</v>
      </c>
      <c r="T12" s="442">
        <v>550</v>
      </c>
      <c r="U12" s="442">
        <v>1</v>
      </c>
      <c r="V12" s="437" t="s">
        <v>454</v>
      </c>
      <c r="W12" s="299" t="s">
        <v>166</v>
      </c>
      <c r="X12" s="331" t="s">
        <v>248</v>
      </c>
      <c r="AV12" s="331"/>
      <c r="AW12" s="331" t="s">
        <v>249</v>
      </c>
      <c r="AX12" s="331" t="s">
        <v>250</v>
      </c>
      <c r="AZ12" s="331" t="s">
        <v>249</v>
      </c>
      <c r="BA12" s="322" t="s">
        <v>251</v>
      </c>
      <c r="BB12" s="322"/>
      <c r="BC12" s="325"/>
      <c r="BD12" s="326"/>
      <c r="BE12" s="327"/>
      <c r="BF12" s="332"/>
      <c r="BG12" s="322"/>
      <c r="BH12" s="322"/>
      <c r="BI12" s="322"/>
      <c r="BJ12" s="322"/>
      <c r="BK12" s="326"/>
      <c r="BL12" s="326"/>
      <c r="BM12" s="322"/>
      <c r="BN12" s="322"/>
      <c r="BO12" s="333"/>
      <c r="BP12" s="334"/>
      <c r="BQ12" s="330"/>
    </row>
    <row r="13" spans="1:80" ht="14.25" customHeight="1">
      <c r="A13" s="455" t="s">
        <v>252</v>
      </c>
      <c r="B13" s="454" t="s">
        <v>230</v>
      </c>
      <c r="C13" s="726">
        <v>0</v>
      </c>
      <c r="D13" s="400">
        <f t="shared" si="13"/>
        <v>0</v>
      </c>
      <c r="F13" s="400">
        <f t="shared" si="14"/>
        <v>0</v>
      </c>
      <c r="G13" s="452">
        <f>+Y6</f>
        <v>66.666666666666671</v>
      </c>
      <c r="H13" s="402">
        <f>+AC5/1000</f>
        <v>0.16065519166666664</v>
      </c>
      <c r="I13" s="403">
        <f t="shared" si="12"/>
        <v>578.35868999999991</v>
      </c>
      <c r="J13" s="314">
        <f t="shared" si="15"/>
        <v>160.65519166666664</v>
      </c>
      <c r="K13" s="314">
        <f t="shared" si="16"/>
        <v>42.894936174999998</v>
      </c>
      <c r="L13" s="404">
        <f>+F13*Y8</f>
        <v>0</v>
      </c>
      <c r="M13" s="303"/>
      <c r="N13" s="405">
        <f t="shared" si="17"/>
        <v>0</v>
      </c>
      <c r="O13" s="453">
        <f t="shared" ref="O13" si="18">+$T$9/1000</f>
        <v>0.26700000000000002</v>
      </c>
      <c r="P13" s="486">
        <f t="shared" ref="P13" si="19">+N13*O13</f>
        <v>0</v>
      </c>
      <c r="Q13" s="401">
        <v>60</v>
      </c>
      <c r="S13" s="441" t="s">
        <v>464</v>
      </c>
      <c r="T13" s="442">
        <v>327</v>
      </c>
      <c r="U13" s="442">
        <v>1</v>
      </c>
      <c r="V13" s="437" t="s">
        <v>454</v>
      </c>
      <c r="AC13" s="299">
        <f>50/34</f>
        <v>1.4705882352941178</v>
      </c>
      <c r="AV13" s="335" t="s">
        <v>253</v>
      </c>
      <c r="AW13" s="336">
        <v>5</v>
      </c>
      <c r="AX13" s="337">
        <f t="shared" ref="AX13" si="20">+AW13*3.6</f>
        <v>18</v>
      </c>
      <c r="AY13" s="301" t="s">
        <v>254</v>
      </c>
      <c r="AZ13" s="338">
        <f t="shared" ref="AZ13" si="21">+BP13/3.6</f>
        <v>61.111111111111107</v>
      </c>
      <c r="BA13" s="322" t="s">
        <v>255</v>
      </c>
      <c r="BB13" s="322"/>
      <c r="BC13" s="325"/>
      <c r="BD13" s="326"/>
      <c r="BE13" s="327"/>
      <c r="BF13" s="332">
        <v>4.55</v>
      </c>
      <c r="BG13" s="322">
        <v>4.5500000000000002E-3</v>
      </c>
      <c r="BH13" s="322"/>
      <c r="BI13" s="322"/>
      <c r="BJ13" s="322" t="s">
        <v>256</v>
      </c>
      <c r="BK13" s="326">
        <v>22</v>
      </c>
      <c r="BL13" s="326">
        <v>220</v>
      </c>
      <c r="BM13" s="322">
        <v>1</v>
      </c>
      <c r="BN13" s="322">
        <v>4.5500000000000002E-3</v>
      </c>
      <c r="BO13" s="339">
        <f t="shared" ref="BO13" si="22">1/BN13</f>
        <v>219.78021978021977</v>
      </c>
      <c r="BP13" s="334">
        <v>220</v>
      </c>
      <c r="BQ13" s="340">
        <f t="shared" ref="BQ13" si="23">+BO13/3.6</f>
        <v>61.050061050061046</v>
      </c>
      <c r="BR13" s="301" t="str">
        <f t="shared" ref="BR13" si="24">+BA13</f>
        <v>Walking</v>
      </c>
    </row>
    <row r="14" spans="1:80" ht="14.25" customHeight="1">
      <c r="A14" s="732"/>
      <c r="B14" s="733"/>
      <c r="C14" s="728"/>
      <c r="D14" s="734"/>
      <c r="E14" s="735"/>
      <c r="F14" s="736"/>
      <c r="G14" s="737"/>
      <c r="H14" s="738">
        <f>+AC6/1000</f>
        <v>0</v>
      </c>
      <c r="I14" s="739"/>
      <c r="J14" s="740"/>
      <c r="K14" s="740"/>
      <c r="L14" s="404"/>
      <c r="M14" s="303"/>
      <c r="N14" s="405"/>
      <c r="O14" s="453"/>
      <c r="P14" s="486"/>
      <c r="Q14" s="729"/>
      <c r="S14" s="441"/>
      <c r="T14" s="442"/>
      <c r="U14" s="442"/>
      <c r="V14" s="437"/>
      <c r="AC14" s="299"/>
      <c r="AV14" s="335"/>
      <c r="AW14" s="336"/>
      <c r="AX14" s="337"/>
      <c r="AY14" s="301"/>
      <c r="AZ14" s="338"/>
      <c r="BA14" s="322"/>
      <c r="BB14" s="322"/>
      <c r="BC14" s="325"/>
      <c r="BD14" s="326"/>
      <c r="BE14" s="327"/>
      <c r="BF14" s="332"/>
      <c r="BG14" s="322"/>
      <c r="BH14" s="322"/>
      <c r="BI14" s="322"/>
      <c r="BJ14" s="322"/>
      <c r="BK14" s="326"/>
      <c r="BL14" s="326"/>
      <c r="BM14" s="322"/>
      <c r="BN14" s="322"/>
      <c r="BO14" s="339"/>
      <c r="BP14" s="334"/>
      <c r="BQ14" s="340"/>
      <c r="BR14" s="301"/>
    </row>
    <row r="15" spans="1:80" ht="14.25" customHeight="1">
      <c r="A15" s="459" t="s">
        <v>440</v>
      </c>
      <c r="B15" s="414"/>
      <c r="C15" s="415"/>
      <c r="D15" s="415"/>
      <c r="E15" s="415"/>
      <c r="F15" s="416"/>
      <c r="G15" s="416"/>
      <c r="H15" s="417"/>
      <c r="I15" s="413"/>
      <c r="J15" s="413"/>
      <c r="K15" s="413"/>
      <c r="L15" s="413"/>
      <c r="M15" s="413" t="str">
        <f>+A15</f>
        <v>Transporte Terrestre</v>
      </c>
      <c r="N15" s="413">
        <f>SUM(N11:N14)+N8</f>
        <v>22178.112254024996</v>
      </c>
      <c r="O15" s="413"/>
      <c r="P15" s="413">
        <f>SUM(P11:P14)+P8</f>
        <v>5209.8208532958242</v>
      </c>
      <c r="Q15" s="412"/>
      <c r="S15" s="4" t="s">
        <v>455</v>
      </c>
      <c r="T15" s="291">
        <f>+T8</f>
        <v>264</v>
      </c>
      <c r="U15" s="289">
        <v>10.805693888888889</v>
      </c>
      <c r="V15" s="437" t="s">
        <v>452</v>
      </c>
      <c r="AC15" s="299"/>
      <c r="AV15" s="335"/>
      <c r="AW15" s="336"/>
      <c r="AX15" s="337"/>
      <c r="AY15" s="301"/>
      <c r="AZ15" s="338"/>
      <c r="BA15" s="322"/>
      <c r="BB15" s="322"/>
      <c r="BC15" s="325"/>
      <c r="BD15" s="326"/>
      <c r="BE15" s="327"/>
      <c r="BF15" s="332"/>
      <c r="BG15" s="322"/>
      <c r="BH15" s="322"/>
      <c r="BI15" s="322"/>
      <c r="BJ15" s="322"/>
      <c r="BK15" s="326"/>
      <c r="BL15" s="326"/>
      <c r="BM15" s="322"/>
      <c r="BN15" s="322"/>
      <c r="BO15" s="339"/>
      <c r="BP15" s="334"/>
      <c r="BQ15" s="340"/>
      <c r="BR15" s="301"/>
    </row>
    <row r="16" spans="1:80" ht="14.25" customHeight="1">
      <c r="A16" s="460" t="s">
        <v>221</v>
      </c>
      <c r="B16" s="461" t="s">
        <v>221</v>
      </c>
      <c r="C16" s="396"/>
      <c r="D16" s="396"/>
      <c r="E16" s="396"/>
      <c r="F16" s="727">
        <v>7000</v>
      </c>
      <c r="G16" s="730"/>
      <c r="H16" s="731">
        <v>1.1000000000000001</v>
      </c>
      <c r="I16" s="406">
        <f>3600*H16</f>
        <v>3960.0000000000005</v>
      </c>
      <c r="J16" s="406"/>
      <c r="K16" s="406"/>
      <c r="L16" s="407">
        <f>+N16/10</f>
        <v>770.00000000000011</v>
      </c>
      <c r="M16" s="413" t="str">
        <f>+A16</f>
        <v>Avion</v>
      </c>
      <c r="N16" s="408">
        <f>+H16*F16</f>
        <v>7700.0000000000009</v>
      </c>
      <c r="O16" s="409">
        <v>0.249</v>
      </c>
      <c r="P16" s="410">
        <f>+N16*O16</f>
        <v>1917.3000000000002</v>
      </c>
      <c r="Q16" s="411"/>
      <c r="S16" s="4" t="s">
        <v>456</v>
      </c>
      <c r="T16" s="291"/>
      <c r="U16" s="289">
        <v>9.3161755555555548</v>
      </c>
      <c r="V16" s="437" t="s">
        <v>452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ht="14.25" customHeight="1">
      <c r="A17" s="418" t="s">
        <v>441</v>
      </c>
      <c r="B17" s="418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21">
        <f>+N15+N16</f>
        <v>29878.112254024996</v>
      </c>
      <c r="O17" s="421"/>
      <c r="P17" s="421">
        <f t="shared" ref="P17" si="25">+P15+P16</f>
        <v>7127.1208532958244</v>
      </c>
      <c r="Q17" s="397"/>
      <c r="S17" s="4" t="s">
        <v>457</v>
      </c>
      <c r="T17" s="291">
        <f>+T5</f>
        <v>249</v>
      </c>
      <c r="U17" s="289">
        <v>9.5719866666666658</v>
      </c>
      <c r="V17" s="437" t="s">
        <v>452</v>
      </c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ht="14.25" customHeight="1">
      <c r="N18" s="424" t="s">
        <v>270</v>
      </c>
      <c r="O18" s="424"/>
      <c r="P18" s="424" t="s">
        <v>444</v>
      </c>
      <c r="Q18" s="423"/>
      <c r="S18" s="4" t="s">
        <v>458</v>
      </c>
      <c r="T18" s="291">
        <f>+T7</f>
        <v>259</v>
      </c>
      <c r="U18" s="289">
        <v>10.401047222222223</v>
      </c>
      <c r="V18" s="437" t="s">
        <v>452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ht="14.25" customHeight="1">
      <c r="B19" s="697" t="s">
        <v>23</v>
      </c>
      <c r="C19" s="698"/>
      <c r="D19" s="698"/>
      <c r="E19" s="698"/>
      <c r="F19" s="698"/>
      <c r="G19" s="698"/>
      <c r="H19" s="698"/>
      <c r="I19" s="698"/>
      <c r="J19" s="698"/>
      <c r="K19" s="698"/>
      <c r="L19" s="698"/>
      <c r="M19" s="698"/>
      <c r="N19" s="483">
        <f>+'Consumo de Gas'!E30/1000</f>
        <v>15.236691166666619</v>
      </c>
      <c r="O19" s="422">
        <f>+T3/1000</f>
        <v>0.20200000000000001</v>
      </c>
      <c r="P19" s="426">
        <f>+N19*O19</f>
        <v>3.0778116156666573</v>
      </c>
      <c r="Q19" s="428" t="str">
        <f>+B19</f>
        <v>Gas</v>
      </c>
      <c r="S19" s="4" t="s">
        <v>459</v>
      </c>
      <c r="T19" s="291">
        <f>+T9</f>
        <v>267</v>
      </c>
      <c r="U19" s="289">
        <v>10.710346111111111</v>
      </c>
      <c r="V19" s="437" t="s">
        <v>452</v>
      </c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ht="14.25" customHeight="1">
      <c r="B20" s="699" t="s">
        <v>24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484">
        <f>+'Consumo eléctrico'!H55/1000</f>
        <v>2.0169999999999999</v>
      </c>
      <c r="O20" s="316">
        <f>+T13/1000</f>
        <v>0.32700000000000001</v>
      </c>
      <c r="P20" s="426">
        <f>+N20*O20</f>
        <v>0.65955900000000001</v>
      </c>
      <c r="Q20" s="428" t="str">
        <f t="shared" ref="Q20:Q23" si="26">+B20</f>
        <v>Electricidad</v>
      </c>
      <c r="S20" s="4" t="s">
        <v>460</v>
      </c>
      <c r="T20" s="291">
        <f>+T9</f>
        <v>267</v>
      </c>
      <c r="U20" s="289">
        <v>10.948715555555555</v>
      </c>
      <c r="V20" s="437" t="s">
        <v>452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ht="14.25" customHeight="1">
      <c r="B21" s="700" t="s">
        <v>442</v>
      </c>
      <c r="C21" s="698"/>
      <c r="D21" s="698"/>
      <c r="E21" s="698"/>
      <c r="F21" s="698"/>
      <c r="G21" s="698"/>
      <c r="H21" s="698"/>
      <c r="I21" s="698"/>
      <c r="J21" s="698"/>
      <c r="K21" s="698"/>
      <c r="L21" s="698"/>
      <c r="M21" s="698"/>
      <c r="N21" s="484">
        <f>+N15/1000</f>
        <v>22.178112254024995</v>
      </c>
      <c r="O21" s="316"/>
      <c r="P21" s="425">
        <f>+P15/1000</f>
        <v>5.2098208532958239</v>
      </c>
      <c r="Q21" s="428" t="str">
        <f t="shared" si="26"/>
        <v>Trans. Terr.</v>
      </c>
      <c r="S21" s="4" t="s">
        <v>461</v>
      </c>
      <c r="T21" s="291"/>
      <c r="U21" s="289">
        <v>11.538243888888889</v>
      </c>
      <c r="V21" s="437" t="s">
        <v>452</v>
      </c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ht="14.25" customHeight="1">
      <c r="B22" s="700" t="s">
        <v>443</v>
      </c>
      <c r="C22" s="698"/>
      <c r="D22" s="698"/>
      <c r="E22" s="698"/>
      <c r="F22" s="698"/>
      <c r="G22" s="698"/>
      <c r="H22" s="698"/>
      <c r="I22" s="698"/>
      <c r="J22" s="698"/>
      <c r="K22" s="698"/>
      <c r="L22" s="698"/>
      <c r="M22" s="698"/>
      <c r="N22" s="484">
        <f>+N16/1000</f>
        <v>7.7000000000000011</v>
      </c>
      <c r="O22" s="316"/>
      <c r="P22" s="425">
        <f>+P16/1000</f>
        <v>1.9173000000000002</v>
      </c>
      <c r="Q22" s="428" t="str">
        <f t="shared" si="26"/>
        <v>Transp. Aereo</v>
      </c>
      <c r="S22" s="4" t="s">
        <v>462</v>
      </c>
      <c r="T22" s="291">
        <f>+T4</f>
        <v>244</v>
      </c>
      <c r="U22" s="289">
        <v>11.206852222222222</v>
      </c>
      <c r="V22" s="437" t="s">
        <v>452</v>
      </c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14.25" customHeight="1">
      <c r="B23" s="701" t="s">
        <v>112</v>
      </c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3"/>
      <c r="N23" s="420">
        <f>SUM(N19:N22)</f>
        <v>47.131803420691618</v>
      </c>
      <c r="O23" s="420"/>
      <c r="P23" s="427">
        <f>SUM(P19:P22)</f>
        <v>10.864491468962482</v>
      </c>
      <c r="Q23" s="428" t="str">
        <f t="shared" si="26"/>
        <v>TOTAL</v>
      </c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14.25" customHeight="1">
      <c r="B24" s="331"/>
      <c r="C24" s="331" t="str">
        <f>+G24&amp;ROUND(D34,1)&amp;" MWh/año"</f>
        <v>Consumo de Energía=47.1 MWh/año</v>
      </c>
      <c r="G24" s="429" t="s">
        <v>445</v>
      </c>
      <c r="H24" s="429"/>
      <c r="I24" s="429"/>
      <c r="J24" s="429"/>
      <c r="K24" s="429"/>
      <c r="L24" s="341" t="str">
        <f>+G24&amp;ROUND(N23,2)&amp;" MWh/año"</f>
        <v>Consumo de Energía=47.13 MWh/año</v>
      </c>
      <c r="M24" s="342"/>
      <c r="N24" s="419"/>
      <c r="P24" s="391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14.25" customHeight="1">
      <c r="C25" s="331" t="str">
        <f>+G25&amp;ROUND(E34,1)&amp;" Tn(CO2)/año"</f>
        <v>Emisiones de CO2 =10.9 Tn(CO2)/año</v>
      </c>
      <c r="G25" s="395" t="s">
        <v>446</v>
      </c>
      <c r="H25" s="430"/>
      <c r="I25" s="430"/>
      <c r="J25" s="430"/>
      <c r="K25" s="430"/>
      <c r="L25" s="341" t="str">
        <f>+G25&amp;ROUND(P23,2)&amp;"  Tn(CO2)/año"</f>
        <v>Emisiones de CO2 =10.86  Tn(CO2)/año</v>
      </c>
      <c r="N25" s="394"/>
      <c r="P25" s="391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14.25" customHeight="1">
      <c r="B26" s="301"/>
      <c r="C26" s="301"/>
      <c r="D26" s="301" t="s">
        <v>270</v>
      </c>
      <c r="E26" s="301" t="s">
        <v>271</v>
      </c>
      <c r="G26" s="298" t="s">
        <v>490</v>
      </c>
      <c r="L26" s="298" t="str">
        <f>+G26&amp;ROUND(D34,1)&amp;" MWh/año"</f>
        <v>Consumo de Energía Anual =47.1 MWh/año</v>
      </c>
      <c r="N26" s="394"/>
      <c r="P26" s="391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ht="14.25" customHeight="1">
      <c r="B27" s="343" t="s">
        <v>274</v>
      </c>
      <c r="C27" s="343"/>
      <c r="D27" s="344">
        <f>+(N5+N6+N7)/1000</f>
        <v>20.921627999999998</v>
      </c>
      <c r="E27" s="344">
        <f>+(P5+P6+P7)/1000</f>
        <v>5.2094853719999996</v>
      </c>
      <c r="N27" s="394"/>
      <c r="P27" s="391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ht="14.25" customHeight="1">
      <c r="B28" s="343" t="s">
        <v>276</v>
      </c>
      <c r="C28" s="343"/>
      <c r="D28" s="344">
        <f>+(N16)/1000</f>
        <v>7.7000000000000011</v>
      </c>
      <c r="E28" s="344">
        <f>+(P16)/1000</f>
        <v>1.9173000000000002</v>
      </c>
      <c r="N28" s="394"/>
      <c r="P28" s="391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ht="14.25" customHeight="1">
      <c r="B29" s="343" t="s">
        <v>278</v>
      </c>
      <c r="C29" s="343"/>
      <c r="D29" s="344">
        <f>+(N11+N13)/1000</f>
        <v>1.2564842540249996</v>
      </c>
      <c r="E29" s="485">
        <f>+(P11+P12+P13)/1000</f>
        <v>3.3548129582467497E-4</v>
      </c>
      <c r="N29" s="394"/>
      <c r="W29" s="298" t="s">
        <v>549</v>
      </c>
      <c r="X29" s="298" t="s">
        <v>550</v>
      </c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14.25" customHeight="1">
      <c r="B30" s="343" t="s">
        <v>280</v>
      </c>
      <c r="C30" s="343"/>
      <c r="D30" s="344">
        <f>+(N12/1000)</f>
        <v>0</v>
      </c>
      <c r="E30" s="485">
        <f>+(P12/1000)</f>
        <v>0</v>
      </c>
      <c r="F30" s="345">
        <f>SUM(E27:E30)</f>
        <v>7.1271208532958239</v>
      </c>
      <c r="N30" s="394"/>
      <c r="W30" s="298" t="s">
        <v>190</v>
      </c>
      <c r="X30" s="298" t="s">
        <v>190</v>
      </c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14.25" customHeight="1">
      <c r="B31" s="346" t="s">
        <v>23</v>
      </c>
      <c r="C31" s="343"/>
      <c r="D31" s="344">
        <f>+(N19)</f>
        <v>15.236691166666619</v>
      </c>
      <c r="E31" s="344">
        <f>+(P19)</f>
        <v>3.0778116156666573</v>
      </c>
      <c r="N31" s="394"/>
      <c r="W31" s="458">
        <v>297</v>
      </c>
      <c r="X31" s="298">
        <v>267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64.5" customHeight="1">
      <c r="B32" s="343" t="s">
        <v>283</v>
      </c>
      <c r="C32" s="343"/>
      <c r="D32" s="344">
        <f>+(N20)</f>
        <v>2.0169999999999999</v>
      </c>
      <c r="E32" s="344">
        <f>+(P20)</f>
        <v>0.65955900000000001</v>
      </c>
      <c r="N32" s="394"/>
      <c r="X32" s="623" t="s">
        <v>503</v>
      </c>
      <c r="Y32" s="624" t="s">
        <v>503</v>
      </c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2:80" ht="14.25" customHeight="1">
      <c r="B33" s="343"/>
      <c r="C33" s="343"/>
      <c r="D33" s="343"/>
      <c r="E33" s="343"/>
      <c r="W33" s="507"/>
      <c r="X33" s="563" t="s">
        <v>551</v>
      </c>
      <c r="Y33" s="625" t="s">
        <v>552</v>
      </c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2:80" ht="14.25" customHeight="1">
      <c r="B34" s="346" t="s">
        <v>29</v>
      </c>
      <c r="D34" s="349">
        <f t="shared" ref="D34" si="27">SUM(D27:D33)</f>
        <v>47.131803420691625</v>
      </c>
      <c r="E34" s="349">
        <f>SUM(E27:E33)</f>
        <v>10.864491468962481</v>
      </c>
      <c r="W34" s="507"/>
      <c r="X34" s="563"/>
      <c r="Y34" s="626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2:80" ht="14.25" customHeight="1">
      <c r="W35" s="507" t="s">
        <v>497</v>
      </c>
      <c r="X35" s="565">
        <v>15</v>
      </c>
      <c r="Y35" s="627">
        <f>+$W$31*X35/1000</f>
        <v>4.4550000000000001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2:80" ht="14.25" customHeight="1">
      <c r="W36" s="507" t="s">
        <v>272</v>
      </c>
      <c r="X36" s="564">
        <v>8.3333333333333339</v>
      </c>
      <c r="Y36" s="627">
        <f>+$W$31*X36/1000</f>
        <v>2.4750000000000001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2:80" ht="14.25" customHeight="1">
      <c r="W37" s="507" t="s">
        <v>286</v>
      </c>
      <c r="X37" s="564">
        <v>8.6111111111111107</v>
      </c>
      <c r="Y37" s="627">
        <f>+$W$31*X37/1000</f>
        <v>2.5575000000000001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2:80" ht="14.25" customHeight="1">
      <c r="W38" s="507" t="s">
        <v>287</v>
      </c>
      <c r="X38" s="564">
        <v>24.166666666666668</v>
      </c>
      <c r="Y38" s="627">
        <f>+$W$31*X38/1000</f>
        <v>7.1775000000000002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2:80" ht="14.25" customHeight="1">
      <c r="W39" s="507" t="s">
        <v>284</v>
      </c>
      <c r="X39" s="566">
        <v>35</v>
      </c>
      <c r="Y39" s="628">
        <f>+$W$31*X39/1000</f>
        <v>10.395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2:80" ht="14.25" customHeight="1">
      <c r="W40" s="507" t="s">
        <v>247</v>
      </c>
      <c r="X40" s="566">
        <v>50</v>
      </c>
      <c r="Y40" s="629">
        <f>+$X$31*X40/1000</f>
        <v>13.35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2:80" ht="14.25" customHeight="1">
      <c r="W41" s="567" t="s">
        <v>230</v>
      </c>
      <c r="X41" s="566">
        <v>121</v>
      </c>
      <c r="Y41" s="629">
        <f>+$X$31*X41/1000</f>
        <v>32.307000000000002</v>
      </c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2:80" ht="14.25" customHeight="1">
      <c r="W42" s="507" t="s">
        <v>498</v>
      </c>
      <c r="X42" s="565">
        <v>150</v>
      </c>
      <c r="Y42" s="628">
        <f>+$W$31*X39/1000</f>
        <v>10.395</v>
      </c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2:80" ht="14.25" customHeight="1">
      <c r="W43" s="507" t="s">
        <v>288</v>
      </c>
      <c r="X43" s="566">
        <v>200</v>
      </c>
      <c r="Y43" s="628">
        <f>+$W$31*X40/1000</f>
        <v>14.85</v>
      </c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2:80" ht="14.25" customHeight="1">
      <c r="W44" s="507" t="s">
        <v>291</v>
      </c>
      <c r="X44" s="566">
        <v>354.72222222222223</v>
      </c>
      <c r="Y44" s="629">
        <f>+$X$31*X44/1000</f>
        <v>94.710833333333326</v>
      </c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2:80" ht="14.25" customHeight="1">
      <c r="W45" s="507" t="s">
        <v>290</v>
      </c>
      <c r="X45" s="566">
        <v>1200</v>
      </c>
      <c r="Y45" s="629">
        <f>+$X$31*X45/1000</f>
        <v>320.39999999999998</v>
      </c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2:80" ht="14.25" customHeight="1">
      <c r="W46" s="507" t="s">
        <v>292</v>
      </c>
      <c r="X46" s="566">
        <v>1500</v>
      </c>
      <c r="Y46" s="629">
        <f>+$X$31*X46/1000</f>
        <v>400.5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2:80" ht="14.25" customHeight="1"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2:80" ht="14.25" customHeight="1" thickBot="1"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23:80" ht="14.25" customHeight="1">
      <c r="W49" s="508" t="s">
        <v>501</v>
      </c>
      <c r="X49" s="509" t="s">
        <v>502</v>
      </c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23:80" ht="14.25" customHeight="1" thickBot="1">
      <c r="W50" s="510"/>
      <c r="X50" s="511" t="s">
        <v>505</v>
      </c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23:80" ht="24.45" customHeight="1">
      <c r="W51" s="512" t="s">
        <v>499</v>
      </c>
      <c r="X51" s="513">
        <v>20</v>
      </c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23:80" ht="22.3" customHeight="1">
      <c r="W52" s="514" t="s">
        <v>500</v>
      </c>
      <c r="X52" s="290">
        <v>21.2</v>
      </c>
      <c r="Y52" s="549">
        <v>1240</v>
      </c>
      <c r="Z52" s="526">
        <v>165</v>
      </c>
      <c r="AA52" s="515">
        <v>315.78947368421052</v>
      </c>
      <c r="AB52" s="516">
        <v>2.1052631578947367</v>
      </c>
      <c r="AS52" s="326" t="s">
        <v>230</v>
      </c>
      <c r="AT52" s="326">
        <v>11</v>
      </c>
      <c r="AU52" s="326"/>
      <c r="AV52" s="318" t="e">
        <f t="shared" ref="AV52:AV55" si="28">+AT52*1000/$AT$49</f>
        <v>#DIV/0!</v>
      </c>
    </row>
    <row r="53" spans="23:80" ht="14.25" customHeight="1">
      <c r="W53" s="514" t="s">
        <v>510</v>
      </c>
      <c r="X53" s="290">
        <v>24</v>
      </c>
      <c r="Y53" s="549">
        <v>520.49240294329263</v>
      </c>
      <c r="Z53" s="526">
        <v>129.50971322849216</v>
      </c>
      <c r="AA53" s="515">
        <v>600</v>
      </c>
      <c r="AB53" s="516">
        <v>4</v>
      </c>
      <c r="AS53" s="326" t="s">
        <v>285</v>
      </c>
      <c r="AT53" s="326">
        <v>24</v>
      </c>
      <c r="AU53" s="326"/>
      <c r="AV53" s="318" t="e">
        <f t="shared" si="28"/>
        <v>#DIV/0!</v>
      </c>
    </row>
    <row r="54" spans="23:80" ht="14.25" customHeight="1">
      <c r="W54" s="514" t="s">
        <v>511</v>
      </c>
      <c r="X54" s="290">
        <v>25</v>
      </c>
      <c r="Y54" s="549">
        <v>496.03146125471858</v>
      </c>
      <c r="Z54" s="526">
        <v>116.56739339485887</v>
      </c>
      <c r="AA54" s="515">
        <v>189.4736842105263</v>
      </c>
      <c r="AB54" s="516">
        <v>1.263157894736842</v>
      </c>
      <c r="AS54" s="326" t="s">
        <v>269</v>
      </c>
      <c r="AT54" s="326">
        <v>44</v>
      </c>
      <c r="AU54" s="326"/>
      <c r="AV54" s="318" t="e">
        <f t="shared" si="28"/>
        <v>#DIV/0!</v>
      </c>
    </row>
    <row r="55" spans="23:80" ht="14.25" customHeight="1">
      <c r="W55" s="514" t="s">
        <v>512</v>
      </c>
      <c r="X55" s="290">
        <v>27</v>
      </c>
      <c r="Y55" s="549">
        <v>170</v>
      </c>
      <c r="Z55" s="526">
        <v>50.49</v>
      </c>
      <c r="AA55" s="515">
        <v>362.36842105263156</v>
      </c>
      <c r="AB55" s="516">
        <v>2.4157894736842103</v>
      </c>
      <c r="AS55" s="326" t="s">
        <v>221</v>
      </c>
      <c r="AT55" s="326">
        <v>68</v>
      </c>
      <c r="AU55" s="326"/>
      <c r="AV55" s="318" t="e">
        <f t="shared" si="28"/>
        <v>#DIV/0!</v>
      </c>
    </row>
    <row r="56" spans="23:80" ht="14.25" customHeight="1" thickBot="1">
      <c r="W56" s="524" t="s">
        <v>513</v>
      </c>
      <c r="X56" s="517">
        <v>21</v>
      </c>
      <c r="Y56" s="550">
        <v>220</v>
      </c>
      <c r="Z56" s="527">
        <v>65.34</v>
      </c>
      <c r="AA56" s="518">
        <v>319.73684210526318</v>
      </c>
      <c r="AB56" s="519">
        <v>2.1315789473684212</v>
      </c>
    </row>
    <row r="57" spans="23:80" ht="14.25" customHeight="1" thickBot="1">
      <c r="W57" s="525" t="s">
        <v>196</v>
      </c>
      <c r="X57" s="520">
        <v>15000</v>
      </c>
      <c r="Y57" s="521" t="s">
        <v>514</v>
      </c>
      <c r="Z57" s="522">
        <v>15</v>
      </c>
      <c r="AA57" s="522" t="s">
        <v>515</v>
      </c>
      <c r="AB57" s="523">
        <v>1.5</v>
      </c>
      <c r="AR57" s="477" t="s">
        <v>484</v>
      </c>
      <c r="AS57" s="477" t="s">
        <v>207</v>
      </c>
      <c r="AT57" s="477" t="s">
        <v>476</v>
      </c>
    </row>
    <row r="58" spans="23:80" ht="14.25" customHeight="1" thickBot="1">
      <c r="AR58" s="477" t="s">
        <v>474</v>
      </c>
      <c r="AS58" s="477">
        <v>0</v>
      </c>
      <c r="AT58" s="477">
        <v>0</v>
      </c>
    </row>
    <row r="59" spans="23:80" ht="14.25" customHeight="1">
      <c r="W59" s="512" t="s">
        <v>501</v>
      </c>
      <c r="X59" s="528" t="s">
        <v>502</v>
      </c>
      <c r="Y59" s="551" t="s">
        <v>503</v>
      </c>
      <c r="Z59" s="553" t="s">
        <v>503</v>
      </c>
      <c r="AA59" s="528" t="s">
        <v>504</v>
      </c>
      <c r="AB59" s="529" t="s">
        <v>504</v>
      </c>
      <c r="AR59" s="477" t="s">
        <v>263</v>
      </c>
      <c r="AS59" s="477">
        <v>0</v>
      </c>
      <c r="AT59" s="477">
        <v>0</v>
      </c>
    </row>
    <row r="60" spans="23:80" ht="14.25" customHeight="1" thickBot="1">
      <c r="W60" s="530"/>
      <c r="X60" s="531" t="s">
        <v>505</v>
      </c>
      <c r="Y60" s="552" t="s">
        <v>506</v>
      </c>
      <c r="Z60" s="554" t="s">
        <v>507</v>
      </c>
      <c r="AA60" s="531" t="s">
        <v>508</v>
      </c>
      <c r="AB60" s="532" t="s">
        <v>509</v>
      </c>
      <c r="AR60" s="477" t="s">
        <v>475</v>
      </c>
      <c r="AS60" s="478">
        <f>+AT60*1000/3600</f>
        <v>5.5555555555555554</v>
      </c>
      <c r="AT60" s="477">
        <v>20</v>
      </c>
    </row>
    <row r="61" spans="23:80" ht="14.25" customHeight="1">
      <c r="W61" s="512" t="s">
        <v>516</v>
      </c>
      <c r="X61" s="533">
        <v>10</v>
      </c>
      <c r="Y61" s="559">
        <v>160</v>
      </c>
      <c r="Z61" s="555">
        <v>47.52</v>
      </c>
      <c r="AA61" s="534">
        <v>227.36842105263156</v>
      </c>
      <c r="AB61" s="535">
        <v>2.2736842105263158</v>
      </c>
      <c r="AR61" s="477" t="s">
        <v>272</v>
      </c>
      <c r="AS61" s="478">
        <f t="shared" ref="AS61:AS69" si="29">+AT61*1000/3600</f>
        <v>8.3333333333333339</v>
      </c>
      <c r="AT61" s="477">
        <v>30</v>
      </c>
    </row>
    <row r="62" spans="23:80" ht="14.25" customHeight="1">
      <c r="W62" s="514" t="s">
        <v>517</v>
      </c>
      <c r="X62" s="536">
        <v>4</v>
      </c>
      <c r="Y62" s="560">
        <v>150</v>
      </c>
      <c r="Z62" s="556">
        <v>44.55</v>
      </c>
      <c r="AA62" s="537">
        <v>213.15789473684211</v>
      </c>
      <c r="AB62" s="538">
        <v>2.1315789473684208</v>
      </c>
      <c r="AR62" s="477" t="s">
        <v>477</v>
      </c>
      <c r="AS62" s="478">
        <f t="shared" si="29"/>
        <v>8.6111111111111107</v>
      </c>
      <c r="AT62" s="477">
        <v>31</v>
      </c>
    </row>
    <row r="63" spans="23:80" ht="14.25" customHeight="1">
      <c r="W63" s="514" t="s">
        <v>518</v>
      </c>
      <c r="X63" s="536">
        <v>2</v>
      </c>
      <c r="Y63" s="560">
        <v>150</v>
      </c>
      <c r="Z63" s="556">
        <v>45</v>
      </c>
      <c r="AA63" s="537">
        <v>213</v>
      </c>
      <c r="AB63" s="538">
        <v>2.13</v>
      </c>
      <c r="AR63" s="477" t="s">
        <v>478</v>
      </c>
      <c r="AS63" s="478">
        <f t="shared" si="29"/>
        <v>24.166666666666668</v>
      </c>
      <c r="AT63" s="477">
        <v>87</v>
      </c>
    </row>
    <row r="64" spans="23:80" ht="14.25" customHeight="1">
      <c r="W64" s="514" t="s">
        <v>519</v>
      </c>
      <c r="X64" s="536">
        <v>2.1</v>
      </c>
      <c r="Y64" s="560">
        <v>289.16244607960704</v>
      </c>
      <c r="Z64" s="556">
        <v>71.949840682495648</v>
      </c>
      <c r="AA64" s="537">
        <v>222.22222222222223</v>
      </c>
      <c r="AB64" s="538">
        <v>2.2222222222222223</v>
      </c>
      <c r="AR64" s="477" t="s">
        <v>247</v>
      </c>
      <c r="AS64" s="478">
        <f t="shared" si="29"/>
        <v>27.222222222222221</v>
      </c>
      <c r="AT64" s="477">
        <v>98</v>
      </c>
    </row>
    <row r="65" spans="23:46" ht="14.25" customHeight="1">
      <c r="W65" s="514" t="s">
        <v>520</v>
      </c>
      <c r="X65" s="536">
        <v>2</v>
      </c>
      <c r="Y65" s="560">
        <v>35</v>
      </c>
      <c r="Z65" s="556">
        <v>10.395000000000001</v>
      </c>
      <c r="AA65" s="537">
        <v>49.736842105263165</v>
      </c>
      <c r="AB65" s="538">
        <v>0.49736842105263168</v>
      </c>
      <c r="AR65" s="477" t="s">
        <v>479</v>
      </c>
      <c r="AS65" s="478">
        <f t="shared" si="29"/>
        <v>32.222222222222221</v>
      </c>
      <c r="AT65" s="477">
        <v>116</v>
      </c>
    </row>
    <row r="66" spans="23:46" ht="14.25" customHeight="1" thickBot="1">
      <c r="W66" s="530" t="s">
        <v>521</v>
      </c>
      <c r="X66" s="539">
        <v>0.75</v>
      </c>
      <c r="Y66" s="561">
        <v>0</v>
      </c>
      <c r="Z66" s="557">
        <v>0</v>
      </c>
      <c r="AA66" s="540">
        <v>0</v>
      </c>
      <c r="AB66" s="541">
        <v>0</v>
      </c>
      <c r="AR66" s="477" t="s">
        <v>480</v>
      </c>
      <c r="AS66" s="478">
        <f t="shared" si="29"/>
        <v>75</v>
      </c>
      <c r="AT66" s="477">
        <v>270</v>
      </c>
    </row>
    <row r="67" spans="23:46" ht="22.75" customHeight="1" thickBot="1">
      <c r="W67" s="542" t="s">
        <v>522</v>
      </c>
      <c r="X67" s="543">
        <v>1.6</v>
      </c>
      <c r="Y67" s="562">
        <v>15</v>
      </c>
      <c r="Z67" s="558">
        <v>4.4550000000000001</v>
      </c>
      <c r="AA67" s="544">
        <v>21.315789473684209</v>
      </c>
      <c r="AB67" s="545">
        <v>0.21315789473684207</v>
      </c>
      <c r="AR67" s="477" t="s">
        <v>481</v>
      </c>
      <c r="AS67" s="478">
        <f t="shared" si="29"/>
        <v>105.55555555555556</v>
      </c>
      <c r="AT67" s="477">
        <v>380</v>
      </c>
    </row>
    <row r="68" spans="23:46" ht="28.75" customHeight="1" thickBot="1">
      <c r="W68" s="546" t="s">
        <v>196</v>
      </c>
      <c r="X68" s="547">
        <v>10000</v>
      </c>
      <c r="Y68" s="547" t="s">
        <v>514</v>
      </c>
      <c r="Z68" s="547">
        <v>10</v>
      </c>
      <c r="AA68" s="547" t="s">
        <v>515</v>
      </c>
      <c r="AB68" s="548">
        <v>1</v>
      </c>
      <c r="AR68" s="477" t="s">
        <v>482</v>
      </c>
      <c r="AS68" s="478">
        <f t="shared" si="29"/>
        <v>354.72222222222223</v>
      </c>
      <c r="AT68" s="477">
        <v>1277</v>
      </c>
    </row>
    <row r="69" spans="23:46" ht="14.25" customHeight="1">
      <c r="AR69" s="477" t="s">
        <v>483</v>
      </c>
      <c r="AS69" s="478">
        <f t="shared" si="29"/>
        <v>475</v>
      </c>
      <c r="AT69" s="477">
        <v>1710</v>
      </c>
    </row>
    <row r="70" spans="23:46" ht="14.25" customHeight="1"/>
    <row r="71" spans="23:46" ht="14.25" customHeight="1"/>
    <row r="72" spans="23:46" ht="14.25" customHeight="1"/>
    <row r="73" spans="23:46" ht="14.25" customHeight="1"/>
    <row r="74" spans="23:46" ht="14.25" customHeight="1">
      <c r="AC74" s="326" t="s">
        <v>260</v>
      </c>
      <c r="AD74" s="326" t="s">
        <v>262</v>
      </c>
      <c r="AE74" s="347" t="s">
        <v>207</v>
      </c>
      <c r="AF74" s="326" t="s">
        <v>282</v>
      </c>
    </row>
    <row r="75" spans="23:46" ht="14.25" customHeight="1">
      <c r="AC75" s="326"/>
      <c r="AD75" s="326"/>
      <c r="AE75" s="347"/>
      <c r="AF75" s="326"/>
    </row>
    <row r="76" spans="23:46" ht="14.25" customHeight="1">
      <c r="AC76" s="326">
        <v>0</v>
      </c>
      <c r="AD76" s="348">
        <f t="shared" ref="AD76:AD88" si="30">+AC76/3600</f>
        <v>0</v>
      </c>
      <c r="AE76" s="347">
        <f t="shared" ref="AE76:AE88" si="31">+AD76*1000</f>
        <v>0</v>
      </c>
      <c r="AF76" s="326">
        <v>0</v>
      </c>
    </row>
    <row r="77" spans="23:46" ht="14.25" customHeight="1">
      <c r="AC77" s="326">
        <v>0</v>
      </c>
      <c r="AD77" s="348">
        <f t="shared" si="30"/>
        <v>0</v>
      </c>
      <c r="AE77" s="347">
        <f t="shared" si="31"/>
        <v>0</v>
      </c>
      <c r="AF77" s="326">
        <v>0</v>
      </c>
    </row>
    <row r="78" spans="23:46" ht="14.25" customHeight="1">
      <c r="AB78" s="326" t="s">
        <v>284</v>
      </c>
      <c r="AC78" s="326">
        <v>20</v>
      </c>
      <c r="AD78" s="348">
        <f t="shared" si="30"/>
        <v>5.5555555555555558E-3</v>
      </c>
      <c r="AE78" s="350">
        <f t="shared" si="31"/>
        <v>5.5555555555555554</v>
      </c>
      <c r="AF78" s="338"/>
    </row>
    <row r="79" spans="23:46" ht="14.25" customHeight="1">
      <c r="AB79" s="326" t="s">
        <v>272</v>
      </c>
      <c r="AC79" s="326">
        <v>30</v>
      </c>
      <c r="AD79" s="348">
        <f t="shared" si="30"/>
        <v>8.3333333333333332E-3</v>
      </c>
      <c r="AE79" s="350">
        <f t="shared" si="31"/>
        <v>8.3333333333333339</v>
      </c>
      <c r="AF79" s="338"/>
    </row>
    <row r="80" spans="23:46" ht="14.25" customHeight="1">
      <c r="AB80" s="326" t="s">
        <v>286</v>
      </c>
      <c r="AC80" s="326">
        <v>31</v>
      </c>
      <c r="AD80" s="348">
        <f t="shared" si="30"/>
        <v>8.611111111111111E-3</v>
      </c>
      <c r="AE80" s="350">
        <f t="shared" si="31"/>
        <v>8.6111111111111107</v>
      </c>
      <c r="AF80" s="338"/>
    </row>
    <row r="81" spans="28:45" ht="14.25" customHeight="1">
      <c r="AB81" s="326" t="s">
        <v>287</v>
      </c>
      <c r="AC81" s="326">
        <v>87</v>
      </c>
      <c r="AD81" s="348">
        <f t="shared" si="30"/>
        <v>2.4166666666666666E-2</v>
      </c>
      <c r="AE81" s="350">
        <f t="shared" si="31"/>
        <v>24.166666666666668</v>
      </c>
      <c r="AF81" s="338"/>
    </row>
    <row r="82" spans="28:45" ht="14.25" customHeight="1">
      <c r="AB82" s="326" t="s">
        <v>247</v>
      </c>
      <c r="AC82" s="326">
        <v>98</v>
      </c>
      <c r="AD82" s="348">
        <f t="shared" si="30"/>
        <v>2.7222222222222221E-2</v>
      </c>
      <c r="AE82" s="350">
        <f t="shared" si="31"/>
        <v>27.222222222222221</v>
      </c>
      <c r="AF82" s="338"/>
    </row>
    <row r="83" spans="28:45" ht="14.25" customHeight="1">
      <c r="AB83" s="326" t="s">
        <v>288</v>
      </c>
      <c r="AC83" s="326">
        <v>116</v>
      </c>
      <c r="AD83" s="348">
        <f t="shared" si="30"/>
        <v>3.2222222222222222E-2</v>
      </c>
      <c r="AE83" s="350">
        <f t="shared" si="31"/>
        <v>32.222222222222221</v>
      </c>
      <c r="AF83" s="338"/>
    </row>
    <row r="84" spans="28:45" ht="14.25" customHeight="1">
      <c r="AB84" s="326" t="s">
        <v>289</v>
      </c>
      <c r="AC84" s="326">
        <v>169</v>
      </c>
      <c r="AD84" s="348">
        <f t="shared" si="30"/>
        <v>4.6944444444444441E-2</v>
      </c>
      <c r="AE84" s="350">
        <f t="shared" si="31"/>
        <v>46.944444444444443</v>
      </c>
      <c r="AF84" s="338"/>
    </row>
    <row r="85" spans="28:45" ht="14.25" customHeight="1">
      <c r="AB85" s="326" t="s">
        <v>230</v>
      </c>
      <c r="AC85" s="326">
        <v>270</v>
      </c>
      <c r="AD85" s="348">
        <f t="shared" si="30"/>
        <v>7.4999999999999997E-2</v>
      </c>
      <c r="AE85" s="350">
        <f t="shared" si="31"/>
        <v>75</v>
      </c>
      <c r="AF85" s="338"/>
    </row>
    <row r="86" spans="28:45" ht="14.25" customHeight="1">
      <c r="AB86" s="326" t="s">
        <v>290</v>
      </c>
      <c r="AC86" s="326">
        <v>380</v>
      </c>
      <c r="AD86" s="348">
        <f t="shared" si="30"/>
        <v>0.10555555555555556</v>
      </c>
      <c r="AE86" s="350">
        <f t="shared" si="31"/>
        <v>105.55555555555556</v>
      </c>
      <c r="AF86" s="338"/>
    </row>
    <row r="87" spans="28:45" ht="14.25" customHeight="1">
      <c r="AB87" s="326" t="s">
        <v>291</v>
      </c>
      <c r="AC87" s="326">
        <v>1277</v>
      </c>
      <c r="AD87" s="348">
        <f t="shared" si="30"/>
        <v>0.35472222222222222</v>
      </c>
      <c r="AE87" s="350">
        <f t="shared" si="31"/>
        <v>354.72222222222223</v>
      </c>
      <c r="AF87" s="338"/>
    </row>
    <row r="88" spans="28:45" ht="14.25" customHeight="1">
      <c r="AB88" s="326" t="s">
        <v>292</v>
      </c>
      <c r="AC88" s="326">
        <v>1710</v>
      </c>
      <c r="AD88" s="348">
        <f t="shared" si="30"/>
        <v>0.47499999999999998</v>
      </c>
      <c r="AE88" s="350">
        <f t="shared" si="31"/>
        <v>475</v>
      </c>
      <c r="AF88" s="338"/>
    </row>
    <row r="89" spans="28:45" ht="14.25" customHeight="1"/>
    <row r="90" spans="28:45" ht="14.25" customHeight="1"/>
    <row r="91" spans="28:45" ht="14.25" customHeight="1"/>
    <row r="92" spans="28:45" ht="14.25" customHeight="1"/>
    <row r="93" spans="28:45" ht="14.25" customHeight="1">
      <c r="AP93" s="301" t="s">
        <v>258</v>
      </c>
      <c r="AQ93" s="299" t="s">
        <v>259</v>
      </c>
      <c r="AS93" s="301"/>
    </row>
    <row r="94" spans="28:45" ht="14.25" customHeight="1">
      <c r="AQ94" s="301" t="s">
        <v>261</v>
      </c>
      <c r="AR94" s="301" t="s">
        <v>264</v>
      </c>
      <c r="AS94" s="301" t="s">
        <v>265</v>
      </c>
    </row>
    <row r="95" spans="28:45" ht="14.25" customHeight="1">
      <c r="AP95" s="301" t="s">
        <v>266</v>
      </c>
      <c r="AQ95" s="301">
        <v>0.6</v>
      </c>
      <c r="AR95" s="301">
        <v>0.28599999999999998</v>
      </c>
      <c r="AS95" s="338">
        <f t="shared" ref="AS95:AS102" si="32">+AR95*1000/3.6</f>
        <v>79.444444444444443</v>
      </c>
    </row>
    <row r="96" spans="28:45" ht="14.25" customHeight="1">
      <c r="AP96" s="301" t="s">
        <v>267</v>
      </c>
      <c r="AQ96" s="301">
        <v>1</v>
      </c>
      <c r="AR96" s="301">
        <v>6.0000000000000001E-3</v>
      </c>
      <c r="AS96" s="338">
        <f t="shared" si="32"/>
        <v>1.6666666666666665</v>
      </c>
    </row>
    <row r="97" spans="42:45" ht="14.25" customHeight="1">
      <c r="AP97" s="301" t="s">
        <v>268</v>
      </c>
      <c r="AQ97" s="301">
        <v>5.5</v>
      </c>
      <c r="AR97" s="301">
        <v>0.13800000000000001</v>
      </c>
      <c r="AS97" s="338">
        <f t="shared" si="32"/>
        <v>38.333333333333336</v>
      </c>
    </row>
    <row r="98" spans="42:45" ht="14.25" customHeight="1">
      <c r="AP98" s="301" t="s">
        <v>273</v>
      </c>
      <c r="AQ98" s="301">
        <v>1.3</v>
      </c>
      <c r="AR98" s="301">
        <v>1.2999999999999999E-2</v>
      </c>
      <c r="AS98" s="338">
        <f t="shared" si="32"/>
        <v>3.6111111111111112</v>
      </c>
    </row>
    <row r="99" spans="42:45" ht="14.25" customHeight="1">
      <c r="AP99" s="301" t="s">
        <v>275</v>
      </c>
      <c r="AQ99" s="301">
        <v>15</v>
      </c>
      <c r="AR99" s="301">
        <v>0.152</v>
      </c>
      <c r="AS99" s="338">
        <f t="shared" si="32"/>
        <v>42.222222222222221</v>
      </c>
    </row>
    <row r="100" spans="42:45" ht="14.25" customHeight="1">
      <c r="AP100" s="301" t="s">
        <v>277</v>
      </c>
      <c r="AQ100" s="301">
        <v>18</v>
      </c>
      <c r="AR100" s="301">
        <v>0.152</v>
      </c>
      <c r="AS100" s="338">
        <f t="shared" si="32"/>
        <v>42.222222222222221</v>
      </c>
    </row>
    <row r="101" spans="42:45" ht="14.25" customHeight="1">
      <c r="AP101" s="301" t="s">
        <v>279</v>
      </c>
      <c r="AQ101" s="301">
        <v>10</v>
      </c>
      <c r="AR101" s="301">
        <v>9.2999999999999999E-2</v>
      </c>
      <c r="AS101" s="338">
        <f t="shared" si="32"/>
        <v>25.833333333333332</v>
      </c>
    </row>
    <row r="102" spans="42:45" ht="14.25" customHeight="1">
      <c r="AP102" s="301" t="s">
        <v>281</v>
      </c>
      <c r="AQ102" s="301">
        <v>56</v>
      </c>
      <c r="AR102" s="301">
        <v>5.6000000000000001E-2</v>
      </c>
      <c r="AS102" s="338">
        <f t="shared" si="32"/>
        <v>15.555555555555555</v>
      </c>
    </row>
    <row r="103" spans="42:45" ht="14.25" customHeight="1"/>
    <row r="104" spans="42:45" ht="14.25" customHeight="1"/>
    <row r="105" spans="42:45" ht="14.25" customHeight="1"/>
    <row r="106" spans="42:45" ht="14.25" customHeight="1"/>
    <row r="107" spans="42:45" ht="14.25" customHeight="1"/>
    <row r="108" spans="42:45" ht="14.25" customHeight="1"/>
    <row r="109" spans="42:45" ht="14.25" customHeight="1"/>
    <row r="110" spans="42:45" ht="14.25" customHeight="1"/>
    <row r="111" spans="42:45" ht="14.25" customHeight="1"/>
    <row r="112" spans="42:45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sheetProtection algorithmName="SHA-512" hashValue="QMH8+1Ip8JhXkxsMDDUxA77lbM9CkpdsQplxqL4zKeCj135CL/MAKSaNu3gyYCksEzESRpaaUSa4W6YI3hIHpA==" saltValue="dLuqP2FH5lSpb6hHkmpU2g==" spinCount="100000" sheet="1" objects="1" scenarios="1"/>
  <sortState xmlns:xlrd2="http://schemas.microsoft.com/office/spreadsheetml/2017/richdata2" ref="W36:Y46">
    <sortCondition ref="X36:X46"/>
  </sortState>
  <mergeCells count="5">
    <mergeCell ref="B19:M19"/>
    <mergeCell ref="B20:M20"/>
    <mergeCell ref="B21:M21"/>
    <mergeCell ref="B23:M23"/>
    <mergeCell ref="B22:M22"/>
  </mergeCells>
  <hyperlinks>
    <hyperlink ref="AA2" r:id="rId1" xr:uid="{AB434080-75E7-4017-AE74-E05F50B7AE6F}"/>
    <hyperlink ref="BA9" r:id="rId2" xr:uid="{0E1E8D04-F3BA-454E-BAD8-050CB8F66B37}"/>
    <hyperlink ref="AA3" r:id="rId3" xr:uid="{1E0BAA6A-DBB4-40B3-8308-107186870AFA}"/>
  </hyperlinks>
  <pageMargins left="0.7" right="0.7" top="0.75" bottom="0.75" header="0" footer="0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D91C-76D2-445C-BAC2-93354E1A17DA}">
  <dimension ref="B1:R132"/>
  <sheetViews>
    <sheetView topLeftCell="A58" zoomScaleNormal="100" workbookViewId="0">
      <selection activeCell="E26" sqref="E26"/>
    </sheetView>
  </sheetViews>
  <sheetFormatPr baseColWidth="10" defaultColWidth="11.07421875" defaultRowHeight="14.6"/>
  <cols>
    <col min="2" max="2" width="13.765625" customWidth="1"/>
    <col min="10" max="10" width="37.921875" customWidth="1"/>
    <col min="16" max="16" width="32.69140625" customWidth="1"/>
  </cols>
  <sheetData>
    <row r="1" spans="2:18" ht="20.6">
      <c r="B1" s="351" t="s">
        <v>293</v>
      </c>
      <c r="J1" s="352" t="s">
        <v>294</v>
      </c>
      <c r="K1" s="353" t="s">
        <v>295</v>
      </c>
      <c r="L1" s="353"/>
      <c r="P1" s="352" t="s">
        <v>294</v>
      </c>
      <c r="Q1" s="353" t="s">
        <v>296</v>
      </c>
      <c r="R1" s="353"/>
    </row>
    <row r="2" spans="2:18" ht="20.6">
      <c r="B2" s="351"/>
      <c r="J2" s="354" t="s">
        <v>297</v>
      </c>
      <c r="K2" s="354"/>
      <c r="L2" s="354"/>
      <c r="M2" s="354" t="s">
        <v>298</v>
      </c>
      <c r="N2" s="354"/>
      <c r="P2" s="352"/>
      <c r="Q2" s="353"/>
      <c r="R2" s="353"/>
    </row>
    <row r="3" spans="2:18" ht="29.15">
      <c r="B3" s="351" t="s">
        <v>299</v>
      </c>
      <c r="G3" s="160">
        <v>2019</v>
      </c>
      <c r="J3" s="351"/>
      <c r="K3" s="240" t="s">
        <v>300</v>
      </c>
      <c r="L3" s="240" t="s">
        <v>301</v>
      </c>
      <c r="M3" s="353" t="s">
        <v>142</v>
      </c>
      <c r="N3" s="353" t="s">
        <v>142</v>
      </c>
      <c r="P3" s="355"/>
      <c r="Q3" s="355" t="s">
        <v>302</v>
      </c>
      <c r="R3" s="355" t="s">
        <v>303</v>
      </c>
    </row>
    <row r="4" spans="2:18" ht="36.9">
      <c r="B4" s="356"/>
      <c r="C4" s="357" t="s">
        <v>304</v>
      </c>
      <c r="D4" s="357" t="s">
        <v>305</v>
      </c>
      <c r="E4" s="357" t="s">
        <v>306</v>
      </c>
      <c r="F4" s="357" t="s">
        <v>307</v>
      </c>
      <c r="G4" s="358" t="s">
        <v>37</v>
      </c>
      <c r="H4" s="358" t="s">
        <v>37</v>
      </c>
      <c r="J4" s="359" t="s">
        <v>308</v>
      </c>
      <c r="K4" s="18">
        <v>26</v>
      </c>
      <c r="L4" s="353">
        <v>4</v>
      </c>
      <c r="M4" s="168">
        <f>+K4*L4*365/1000</f>
        <v>37.96</v>
      </c>
      <c r="N4" s="18">
        <v>30</v>
      </c>
      <c r="P4" s="354" t="s">
        <v>297</v>
      </c>
      <c r="Q4" s="354"/>
      <c r="R4" s="354"/>
    </row>
    <row r="5" spans="2:18" ht="36.9">
      <c r="B5" s="360"/>
      <c r="C5" s="357" t="s">
        <v>304</v>
      </c>
      <c r="D5" s="357" t="s">
        <v>305</v>
      </c>
      <c r="E5" s="357" t="s">
        <v>306</v>
      </c>
      <c r="F5" s="357" t="s">
        <v>307</v>
      </c>
      <c r="G5" s="361" t="s">
        <v>39</v>
      </c>
      <c r="H5" s="362" t="s">
        <v>163</v>
      </c>
      <c r="J5" s="359" t="s">
        <v>309</v>
      </c>
      <c r="K5" s="18">
        <v>66</v>
      </c>
      <c r="L5" s="353">
        <v>4</v>
      </c>
      <c r="M5" s="168">
        <f>+K5*L5*365/1000</f>
        <v>96.36</v>
      </c>
      <c r="N5" s="18">
        <v>30</v>
      </c>
      <c r="P5" s="355"/>
      <c r="Q5" s="355" t="s">
        <v>162</v>
      </c>
      <c r="R5" s="355" t="s">
        <v>37</v>
      </c>
    </row>
    <row r="6" spans="2:18">
      <c r="B6" s="359" t="s">
        <v>4</v>
      </c>
      <c r="C6" s="363">
        <v>361.11275000000001</v>
      </c>
      <c r="D6" s="363">
        <v>598.18025</v>
      </c>
      <c r="E6" s="363">
        <v>834.86085000000003</v>
      </c>
      <c r="F6" s="363">
        <v>1800.17635</v>
      </c>
      <c r="G6" s="359">
        <v>860.65497011116645</v>
      </c>
      <c r="H6" s="364">
        <v>361.11275000000001</v>
      </c>
      <c r="P6" s="353" t="s">
        <v>310</v>
      </c>
      <c r="Q6" s="365">
        <f>+R6*1000/365</f>
        <v>3835.6164383561645</v>
      </c>
      <c r="R6" s="353">
        <v>1400</v>
      </c>
    </row>
    <row r="7" spans="2:18">
      <c r="B7" s="359" t="s">
        <v>43</v>
      </c>
      <c r="C7" s="363">
        <v>40.848260869565223</v>
      </c>
      <c r="D7" s="363">
        <v>215.14826086956523</v>
      </c>
      <c r="E7" s="363">
        <v>570.87249999999995</v>
      </c>
      <c r="F7" s="363">
        <v>2476.8225000000002</v>
      </c>
      <c r="G7" s="359">
        <v>647.43321257889158</v>
      </c>
      <c r="H7" s="364">
        <v>215.14826086956523</v>
      </c>
      <c r="P7" s="353" t="s">
        <v>311</v>
      </c>
      <c r="Q7" s="365">
        <f t="shared" ref="Q7:Q12" si="0">+R7*1000/365</f>
        <v>2739.7260273972602</v>
      </c>
      <c r="R7" s="353">
        <v>1000</v>
      </c>
    </row>
    <row r="8" spans="2:18">
      <c r="B8" s="359" t="s">
        <v>312</v>
      </c>
      <c r="C8" s="363">
        <v>74.936324999999997</v>
      </c>
      <c r="D8" s="363">
        <v>189.50982500000001</v>
      </c>
      <c r="E8" s="363">
        <v>372.41634375000001</v>
      </c>
      <c r="F8" s="363">
        <v>2499.6728437500001</v>
      </c>
      <c r="G8" s="359">
        <v>416.25964705815971</v>
      </c>
      <c r="H8" s="364">
        <v>85</v>
      </c>
      <c r="J8" s="359" t="s">
        <v>313</v>
      </c>
      <c r="K8" s="17"/>
      <c r="L8" s="17"/>
      <c r="M8" s="17"/>
      <c r="N8" s="18"/>
      <c r="P8" s="353" t="s">
        <v>314</v>
      </c>
      <c r="Q8" s="365">
        <f t="shared" si="0"/>
        <v>2328.7671232876714</v>
      </c>
      <c r="R8" s="353">
        <v>850</v>
      </c>
    </row>
    <row r="9" spans="2:18">
      <c r="B9" s="359" t="s">
        <v>6</v>
      </c>
      <c r="C9" s="363">
        <v>12.169374999999999</v>
      </c>
      <c r="D9" s="363">
        <v>54.153194999999997</v>
      </c>
      <c r="E9" s="363">
        <v>215.86724499999997</v>
      </c>
      <c r="F9" s="363">
        <v>1922.0820425115212</v>
      </c>
      <c r="G9" s="359">
        <v>307.51389305922214</v>
      </c>
      <c r="H9" s="364">
        <v>54.153194999999997</v>
      </c>
      <c r="J9" s="359" t="s">
        <v>315</v>
      </c>
      <c r="K9" s="366"/>
      <c r="L9" s="363"/>
      <c r="M9" s="359"/>
      <c r="N9" s="367"/>
      <c r="P9" s="353" t="s">
        <v>316</v>
      </c>
      <c r="Q9" s="365">
        <f t="shared" si="0"/>
        <v>1643.8356164383561</v>
      </c>
      <c r="R9" s="353">
        <v>600</v>
      </c>
    </row>
    <row r="10" spans="2:18">
      <c r="B10" s="359" t="s">
        <v>317</v>
      </c>
      <c r="C10" s="363">
        <v>0.74825000000000008</v>
      </c>
      <c r="D10" s="363">
        <v>59.402163043478261</v>
      </c>
      <c r="E10" s="363">
        <v>213.11016304347828</v>
      </c>
      <c r="F10" s="363">
        <v>1060.3062500000001</v>
      </c>
      <c r="G10" s="359">
        <v>289.04725830406909</v>
      </c>
      <c r="H10" s="364">
        <v>59.402163043478261</v>
      </c>
      <c r="O10" s="368">
        <v>0.15</v>
      </c>
      <c r="P10" s="353" t="s">
        <v>318</v>
      </c>
      <c r="Q10" s="365">
        <f t="shared" si="0"/>
        <v>1232.8767123287671</v>
      </c>
      <c r="R10" s="353">
        <v>450</v>
      </c>
    </row>
    <row r="11" spans="2:18" ht="44.15">
      <c r="B11" s="359" t="s">
        <v>319</v>
      </c>
      <c r="C11" s="363">
        <v>52.775350000000003</v>
      </c>
      <c r="D11" s="363">
        <v>124.64750000000001</v>
      </c>
      <c r="E11" s="363">
        <v>251.05749374999999</v>
      </c>
      <c r="F11" s="363">
        <v>1166.8424937499999</v>
      </c>
      <c r="G11" s="359">
        <v>273.22605854316248</v>
      </c>
      <c r="H11" s="364">
        <v>124.64750000000001</v>
      </c>
      <c r="J11" s="369" t="s">
        <v>320</v>
      </c>
      <c r="K11" s="370" t="s">
        <v>300</v>
      </c>
      <c r="L11" s="17"/>
      <c r="M11" s="371" t="s">
        <v>321</v>
      </c>
      <c r="N11" s="18"/>
      <c r="P11" s="353" t="s">
        <v>322</v>
      </c>
      <c r="Q11" s="365">
        <f t="shared" si="0"/>
        <v>931.50684931506851</v>
      </c>
      <c r="R11" s="353">
        <v>340</v>
      </c>
    </row>
    <row r="12" spans="2:18" ht="15.9">
      <c r="B12" s="359" t="s">
        <v>13</v>
      </c>
      <c r="C12" s="363">
        <v>58.783250000000002</v>
      </c>
      <c r="D12" s="363">
        <v>161.43950000000001</v>
      </c>
      <c r="E12" s="363">
        <v>266.72375</v>
      </c>
      <c r="F12" s="363">
        <v>654.37200000000007</v>
      </c>
      <c r="G12" s="359">
        <v>253.04223080046506</v>
      </c>
      <c r="H12" s="364">
        <v>161.43950000000001</v>
      </c>
      <c r="J12" s="353" t="s">
        <v>323</v>
      </c>
      <c r="K12" s="370">
        <v>100</v>
      </c>
      <c r="L12" s="17"/>
      <c r="M12" s="372">
        <f>+K12*4*0.365</f>
        <v>146</v>
      </c>
      <c r="N12" s="18">
        <v>30</v>
      </c>
      <c r="P12" s="353" t="s">
        <v>324</v>
      </c>
      <c r="Q12" s="365">
        <f t="shared" si="0"/>
        <v>739.72602739726028</v>
      </c>
      <c r="R12" s="353">
        <v>270</v>
      </c>
    </row>
    <row r="13" spans="2:18" ht="15.9">
      <c r="B13" s="359" t="s">
        <v>41</v>
      </c>
      <c r="C13" s="363">
        <v>0</v>
      </c>
      <c r="D13" s="363">
        <v>4.5421567249999999</v>
      </c>
      <c r="E13" s="363">
        <v>144.61090672500001</v>
      </c>
      <c r="F13" s="363">
        <v>495.92425000000003</v>
      </c>
      <c r="G13" s="359">
        <v>159.41790991642856</v>
      </c>
      <c r="H13" s="364">
        <v>4.5421567249999999</v>
      </c>
      <c r="J13" s="353" t="s">
        <v>325</v>
      </c>
      <c r="K13" s="370">
        <v>50</v>
      </c>
      <c r="M13" s="372">
        <f t="shared" ref="M13:M28" si="1">+K13*4*0.365</f>
        <v>73</v>
      </c>
      <c r="Q13" s="353"/>
      <c r="R13" s="353"/>
    </row>
    <row r="14" spans="2:18" ht="15.9">
      <c r="B14" s="359" t="s">
        <v>42</v>
      </c>
      <c r="C14" s="363">
        <v>0</v>
      </c>
      <c r="D14" s="363">
        <v>34.80046875</v>
      </c>
      <c r="E14" s="363">
        <v>170.80046874999999</v>
      </c>
      <c r="F14" s="363">
        <v>517.42499999999995</v>
      </c>
      <c r="G14" s="359">
        <v>154.47228825757577</v>
      </c>
      <c r="H14" s="364">
        <v>34.80046875</v>
      </c>
      <c r="J14" s="353" t="s">
        <v>326</v>
      </c>
      <c r="K14" s="370">
        <v>70</v>
      </c>
      <c r="M14" s="372">
        <f t="shared" si="1"/>
        <v>102.2</v>
      </c>
      <c r="P14" s="353"/>
      <c r="Q14" s="353"/>
      <c r="R14" s="353"/>
    </row>
    <row r="15" spans="2:18" ht="15.9">
      <c r="B15" s="359" t="s">
        <v>7</v>
      </c>
      <c r="C15" s="363">
        <v>21.157832907500001</v>
      </c>
      <c r="D15" s="363">
        <v>61.891832907499996</v>
      </c>
      <c r="E15" s="363">
        <v>117.47525</v>
      </c>
      <c r="F15" s="363">
        <v>483.26219000000003</v>
      </c>
      <c r="G15" s="359">
        <v>123.28066354408449</v>
      </c>
      <c r="H15" s="364">
        <v>61.891832907499996</v>
      </c>
      <c r="J15" s="353" t="s">
        <v>327</v>
      </c>
      <c r="K15" s="370">
        <v>100</v>
      </c>
      <c r="M15" s="372">
        <f t="shared" si="1"/>
        <v>146</v>
      </c>
      <c r="P15" s="353"/>
      <c r="Q15" s="353"/>
      <c r="R15" s="353"/>
    </row>
    <row r="16" spans="2:18" ht="15.9">
      <c r="B16" s="359" t="s">
        <v>0</v>
      </c>
      <c r="C16" s="363">
        <v>15.007990196078433</v>
      </c>
      <c r="D16" s="363">
        <v>40.085500000000003</v>
      </c>
      <c r="E16" s="363">
        <v>88.521999999999991</v>
      </c>
      <c r="F16" s="363">
        <v>368.286</v>
      </c>
      <c r="G16" s="359">
        <v>150</v>
      </c>
      <c r="H16" s="364">
        <v>50</v>
      </c>
      <c r="J16" s="353" t="s">
        <v>328</v>
      </c>
      <c r="K16" s="370">
        <v>50</v>
      </c>
      <c r="M16" s="372">
        <f t="shared" si="1"/>
        <v>73</v>
      </c>
      <c r="P16" s="353"/>
      <c r="Q16" s="353"/>
      <c r="R16" s="353"/>
    </row>
    <row r="17" spans="2:18" ht="15.9">
      <c r="B17" s="359" t="s">
        <v>3</v>
      </c>
      <c r="C17" s="363">
        <v>5.6574999999999998</v>
      </c>
      <c r="D17" s="363">
        <v>28.871499999999994</v>
      </c>
      <c r="E17" s="363">
        <v>76.472062499999993</v>
      </c>
      <c r="F17" s="363">
        <v>377.92556249999996</v>
      </c>
      <c r="G17" s="359">
        <v>98.716022050207798</v>
      </c>
      <c r="H17" s="364">
        <v>28.871499999999994</v>
      </c>
      <c r="J17" s="353" t="s">
        <v>329</v>
      </c>
      <c r="K17" s="370">
        <v>35</v>
      </c>
      <c r="M17" s="372">
        <f t="shared" si="1"/>
        <v>51.1</v>
      </c>
      <c r="P17" s="353"/>
      <c r="Q17" s="353"/>
      <c r="R17" s="353"/>
    </row>
    <row r="18" spans="2:18" ht="15.9">
      <c r="B18" s="359" t="s">
        <v>5</v>
      </c>
      <c r="C18" s="363">
        <v>13.282500000000001</v>
      </c>
      <c r="D18" s="363">
        <v>46.815937500000004</v>
      </c>
      <c r="E18" s="363">
        <v>97.092812500000008</v>
      </c>
      <c r="F18" s="363">
        <v>191.30237499999998</v>
      </c>
      <c r="G18" s="359">
        <v>83.605283188715291</v>
      </c>
      <c r="H18" s="364">
        <v>46.815937500000004</v>
      </c>
      <c r="J18" s="353" t="s">
        <v>330</v>
      </c>
      <c r="K18" s="370">
        <v>25</v>
      </c>
      <c r="M18" s="372">
        <f t="shared" si="1"/>
        <v>36.5</v>
      </c>
    </row>
    <row r="19" spans="2:18" ht="15.9">
      <c r="B19" s="359" t="s">
        <v>8</v>
      </c>
      <c r="C19" s="363">
        <v>5.49</v>
      </c>
      <c r="D19" s="363">
        <v>24.115000000000002</v>
      </c>
      <c r="E19" s="363">
        <v>65.390625</v>
      </c>
      <c r="F19" s="363">
        <v>338.765625</v>
      </c>
      <c r="G19" s="359">
        <v>78.87899090443122</v>
      </c>
      <c r="H19" s="364">
        <v>24.115000000000002</v>
      </c>
      <c r="J19" s="353" t="s">
        <v>331</v>
      </c>
      <c r="K19" s="370">
        <v>10</v>
      </c>
      <c r="M19" s="372">
        <f t="shared" si="1"/>
        <v>14.6</v>
      </c>
    </row>
    <row r="20" spans="2:18" ht="15.9">
      <c r="B20" s="359" t="s">
        <v>332</v>
      </c>
      <c r="C20" s="363">
        <v>0.91249999999999998</v>
      </c>
      <c r="D20" s="363">
        <v>9.9333333333333336</v>
      </c>
      <c r="E20" s="363">
        <v>38.803333333333335</v>
      </c>
      <c r="F20" s="363">
        <v>211.55250000000001</v>
      </c>
      <c r="G20" s="359">
        <v>58.245038135897445</v>
      </c>
      <c r="H20" s="364">
        <v>9.9333333333333336</v>
      </c>
      <c r="J20" s="353" t="s">
        <v>323</v>
      </c>
      <c r="K20" s="370">
        <v>60</v>
      </c>
      <c r="M20" s="372">
        <f t="shared" si="1"/>
        <v>87.6</v>
      </c>
    </row>
    <row r="21" spans="2:18" ht="15.9">
      <c r="B21" s="15" t="s">
        <v>495</v>
      </c>
      <c r="C21" s="492">
        <f>SUM(C6:C20)</f>
        <v>662.88188397314377</v>
      </c>
      <c r="D21" s="492">
        <f t="shared" ref="D21:H21" si="2">SUM(D6:D20)</f>
        <v>1653.5364231288768</v>
      </c>
      <c r="E21" s="492">
        <f t="shared" si="2"/>
        <v>3524.0758043518117</v>
      </c>
      <c r="F21" s="492">
        <f t="shared" si="2"/>
        <v>14564.71798251152</v>
      </c>
      <c r="G21" s="492">
        <f t="shared" si="2"/>
        <v>3953.7934664524769</v>
      </c>
      <c r="H21" s="492">
        <f t="shared" si="2"/>
        <v>1321.8735981288769</v>
      </c>
      <c r="J21" s="4"/>
      <c r="K21" s="491"/>
      <c r="M21" s="372"/>
    </row>
    <row r="22" spans="2:18" ht="15.9">
      <c r="E22" s="11" t="s">
        <v>333</v>
      </c>
      <c r="F22" t="s">
        <v>334</v>
      </c>
      <c r="G22" t="s">
        <v>335</v>
      </c>
      <c r="H22" t="s">
        <v>142</v>
      </c>
      <c r="J22" s="353" t="s">
        <v>336</v>
      </c>
      <c r="K22" s="370">
        <v>35</v>
      </c>
      <c r="L22" s="373"/>
      <c r="M22" s="374">
        <f t="shared" si="1"/>
        <v>51.1</v>
      </c>
    </row>
    <row r="23" spans="2:18" ht="15.9">
      <c r="B23" s="359" t="s">
        <v>337</v>
      </c>
      <c r="C23" s="363"/>
      <c r="D23" s="363"/>
      <c r="E23" s="366"/>
      <c r="F23" s="363"/>
      <c r="G23" s="359">
        <v>7</v>
      </c>
      <c r="H23" s="375">
        <f>+G23*365</f>
        <v>2555</v>
      </c>
      <c r="J23" s="353" t="s">
        <v>338</v>
      </c>
      <c r="K23" s="370">
        <v>15</v>
      </c>
      <c r="L23" s="373"/>
      <c r="M23" s="374">
        <f t="shared" si="1"/>
        <v>21.9</v>
      </c>
    </row>
    <row r="24" spans="2:18" ht="15.9">
      <c r="B24" s="359" t="s">
        <v>315</v>
      </c>
      <c r="C24" s="363"/>
      <c r="D24" s="363"/>
      <c r="E24" s="366"/>
      <c r="F24" s="363"/>
      <c r="G24" s="359">
        <v>4</v>
      </c>
      <c r="H24" s="375">
        <f>+G24*365</f>
        <v>1460</v>
      </c>
      <c r="J24" s="353" t="s">
        <v>339</v>
      </c>
      <c r="K24" s="370">
        <v>55</v>
      </c>
      <c r="L24" s="373"/>
      <c r="M24" s="374">
        <f t="shared" si="1"/>
        <v>80.3</v>
      </c>
    </row>
    <row r="25" spans="2:18" ht="15.9">
      <c r="B25" s="359" t="s">
        <v>340</v>
      </c>
      <c r="C25" s="17"/>
      <c r="D25" s="17"/>
      <c r="E25" s="376">
        <v>26</v>
      </c>
      <c r="F25" s="17">
        <v>4</v>
      </c>
      <c r="G25" s="168">
        <f>+E25*F25*365/1000</f>
        <v>37.96</v>
      </c>
      <c r="H25" s="168">
        <f>+G25*4*0.365</f>
        <v>55.421599999999998</v>
      </c>
      <c r="J25" s="353" t="s">
        <v>341</v>
      </c>
      <c r="K25" s="370">
        <v>60</v>
      </c>
      <c r="L25" s="373"/>
      <c r="M25" s="374">
        <f t="shared" si="1"/>
        <v>87.6</v>
      </c>
    </row>
    <row r="26" spans="2:18" ht="15.9">
      <c r="B26" s="359" t="s">
        <v>342</v>
      </c>
      <c r="C26" s="17"/>
      <c r="D26" s="17"/>
      <c r="E26" s="376">
        <v>75</v>
      </c>
      <c r="F26" s="17">
        <v>4</v>
      </c>
      <c r="G26" s="168">
        <f>+E26*F26*365/1000</f>
        <v>109.5</v>
      </c>
      <c r="H26" s="168">
        <f>+G26*4*0.365</f>
        <v>159.87</v>
      </c>
      <c r="J26" s="353" t="s">
        <v>343</v>
      </c>
      <c r="K26" s="370">
        <v>45</v>
      </c>
      <c r="L26" s="373"/>
      <c r="M26" s="374">
        <f t="shared" si="1"/>
        <v>65.7</v>
      </c>
    </row>
    <row r="27" spans="2:18" ht="15.9">
      <c r="B27" s="359" t="s">
        <v>313</v>
      </c>
      <c r="C27" s="17"/>
      <c r="D27" s="17"/>
      <c r="E27" s="17"/>
      <c r="F27" s="17"/>
      <c r="G27" s="17"/>
      <c r="H27" s="18"/>
      <c r="I27" s="377">
        <v>0.15</v>
      </c>
      <c r="J27" s="353" t="s">
        <v>344</v>
      </c>
      <c r="K27" s="370">
        <v>35</v>
      </c>
      <c r="L27" s="373"/>
      <c r="M27" s="374">
        <f t="shared" si="1"/>
        <v>51.1</v>
      </c>
    </row>
    <row r="28" spans="2:18" ht="15.9">
      <c r="B28" s="359"/>
      <c r="C28" s="17"/>
      <c r="D28" s="17"/>
      <c r="E28" s="17"/>
      <c r="F28" s="17"/>
      <c r="G28" s="17"/>
      <c r="H28" s="18"/>
      <c r="J28" s="353" t="s">
        <v>345</v>
      </c>
      <c r="K28" s="370">
        <v>150</v>
      </c>
      <c r="L28" s="373"/>
      <c r="M28" s="374">
        <f t="shared" si="1"/>
        <v>219</v>
      </c>
    </row>
    <row r="29" spans="2:18" ht="18.45">
      <c r="B29" s="359"/>
      <c r="C29" s="17"/>
      <c r="D29" s="17"/>
      <c r="E29" s="17"/>
      <c r="F29" s="17"/>
      <c r="G29" s="17"/>
      <c r="H29" s="18">
        <v>30</v>
      </c>
      <c r="J29" s="378" t="s">
        <v>346</v>
      </c>
      <c r="K29" s="370"/>
    </row>
    <row r="30" spans="2:18" ht="18.45">
      <c r="B30" s="359" t="s">
        <v>347</v>
      </c>
      <c r="C30" s="363">
        <v>4198.8439083333324</v>
      </c>
      <c r="D30" s="363">
        <v>4207.962125</v>
      </c>
      <c r="E30" s="363">
        <v>4217.0803416666658</v>
      </c>
      <c r="F30" s="363">
        <v>4226.1985583333335</v>
      </c>
      <c r="G30" s="359"/>
      <c r="H30" s="367">
        <v>4207.962125</v>
      </c>
      <c r="J30" s="378" t="s">
        <v>69</v>
      </c>
      <c r="K30" s="370"/>
    </row>
    <row r="31" spans="2:18" ht="36.9">
      <c r="C31" s="357" t="s">
        <v>304</v>
      </c>
      <c r="D31" s="357" t="s">
        <v>305</v>
      </c>
      <c r="E31" s="357" t="s">
        <v>306</v>
      </c>
      <c r="F31" s="357" t="s">
        <v>307</v>
      </c>
      <c r="G31" s="361" t="s">
        <v>348</v>
      </c>
      <c r="H31" s="362" t="s">
        <v>349</v>
      </c>
      <c r="J31" s="353" t="s">
        <v>350</v>
      </c>
      <c r="K31" s="370">
        <v>850</v>
      </c>
      <c r="L31" s="671" t="s">
        <v>622</v>
      </c>
    </row>
    <row r="32" spans="2:18" ht="15.9">
      <c r="C32" s="379">
        <v>662.88188397314377</v>
      </c>
      <c r="D32" s="379">
        <v>1653.5364231288768</v>
      </c>
      <c r="E32" s="379">
        <v>3524.0758043518117</v>
      </c>
      <c r="F32" s="379">
        <v>14564.71798251152</v>
      </c>
      <c r="G32" s="379">
        <v>3909.5089478013083</v>
      </c>
      <c r="H32" s="379">
        <v>1311.9590981288768</v>
      </c>
      <c r="J32" s="353" t="s">
        <v>351</v>
      </c>
      <c r="K32" s="370">
        <v>600</v>
      </c>
      <c r="L32" s="671" t="s">
        <v>622</v>
      </c>
    </row>
    <row r="33" spans="2:14" ht="15.9">
      <c r="B33" s="364" t="s">
        <v>18</v>
      </c>
      <c r="C33" s="493">
        <f>+C21</f>
        <v>662.88188397314377</v>
      </c>
      <c r="D33" s="493">
        <f t="shared" ref="D33:H33" si="3">+D21</f>
        <v>1653.5364231288768</v>
      </c>
      <c r="E33" s="493">
        <f t="shared" si="3"/>
        <v>3524.0758043518117</v>
      </c>
      <c r="F33" s="493">
        <f t="shared" si="3"/>
        <v>14564.71798251152</v>
      </c>
      <c r="G33" s="493">
        <f t="shared" si="3"/>
        <v>3953.7934664524769</v>
      </c>
      <c r="H33" s="493">
        <f t="shared" si="3"/>
        <v>1321.8735981288769</v>
      </c>
      <c r="J33" s="353" t="s">
        <v>352</v>
      </c>
      <c r="K33" s="370">
        <v>920</v>
      </c>
      <c r="L33" s="671" t="s">
        <v>622</v>
      </c>
    </row>
    <row r="34" spans="2:14" ht="36.9">
      <c r="C34" s="357" t="s">
        <v>304</v>
      </c>
      <c r="D34" s="357" t="s">
        <v>305</v>
      </c>
      <c r="E34" s="357" t="s">
        <v>306</v>
      </c>
      <c r="F34" s="357" t="s">
        <v>307</v>
      </c>
      <c r="G34" s="361" t="s">
        <v>348</v>
      </c>
      <c r="H34" s="362" t="s">
        <v>349</v>
      </c>
      <c r="J34" s="353" t="s">
        <v>353</v>
      </c>
      <c r="K34" s="370">
        <v>1000</v>
      </c>
      <c r="L34" s="671" t="s">
        <v>622</v>
      </c>
      <c r="N34" s="380"/>
    </row>
    <row r="35" spans="2:14" ht="15.9">
      <c r="B35" s="359" t="s">
        <v>22</v>
      </c>
      <c r="C35" s="363">
        <v>999.90924657533935</v>
      </c>
      <c r="D35" s="363">
        <v>3857.1610287671106</v>
      </c>
      <c r="E35" s="363">
        <v>7334.1787821917569</v>
      </c>
      <c r="F35" s="363">
        <v>14936.36398041662</v>
      </c>
      <c r="G35" s="359">
        <v>6291.2463251496765</v>
      </c>
      <c r="H35" s="367">
        <v>3857.1610287671106</v>
      </c>
      <c r="J35" s="353" t="s">
        <v>354</v>
      </c>
      <c r="K35" s="370">
        <v>1200</v>
      </c>
      <c r="L35" s="671" t="s">
        <v>622</v>
      </c>
    </row>
    <row r="36" spans="2:14" ht="15.9">
      <c r="B36" s="359" t="s">
        <v>21</v>
      </c>
      <c r="C36" s="363">
        <v>819.89891794520554</v>
      </c>
      <c r="D36" s="363">
        <v>2216.6857235007565</v>
      </c>
      <c r="E36" s="363">
        <v>3355.8868055555513</v>
      </c>
      <c r="F36" s="363">
        <v>7815.2205998749814</v>
      </c>
      <c r="G36" s="359">
        <v>3296.7977623042702</v>
      </c>
      <c r="H36" s="367">
        <v>2216.6857235007565</v>
      </c>
      <c r="J36" s="353" t="s">
        <v>355</v>
      </c>
      <c r="K36" s="370">
        <v>1200</v>
      </c>
      <c r="L36" s="671" t="s">
        <v>622</v>
      </c>
    </row>
    <row r="37" spans="2:14" ht="15.9">
      <c r="B37" s="359" t="s">
        <v>16</v>
      </c>
      <c r="C37" s="363">
        <v>986.76229166666519</v>
      </c>
      <c r="D37" s="363">
        <v>2072.2008124999952</v>
      </c>
      <c r="E37" s="363">
        <v>2477.7195624999922</v>
      </c>
      <c r="F37" s="363">
        <v>4887.3119749999951</v>
      </c>
      <c r="G37" s="359">
        <v>2442.5535996444887</v>
      </c>
      <c r="H37" s="367">
        <v>2072.2008124999952</v>
      </c>
      <c r="J37" s="353" t="s">
        <v>356</v>
      </c>
      <c r="K37" s="370">
        <v>2400</v>
      </c>
      <c r="L37" s="671" t="s">
        <v>622</v>
      </c>
    </row>
    <row r="38" spans="2:14" ht="15.9">
      <c r="B38" s="359" t="s">
        <v>20</v>
      </c>
      <c r="C38" s="363">
        <v>513.79630555555411</v>
      </c>
      <c r="D38" s="363">
        <v>1068.6741722222187</v>
      </c>
      <c r="E38" s="363">
        <v>1460.5278666666645</v>
      </c>
      <c r="F38" s="363">
        <v>3728.4049933333245</v>
      </c>
      <c r="G38" s="359">
        <v>1497.249019875544</v>
      </c>
      <c r="H38" s="367">
        <v>1068.6741722222187</v>
      </c>
      <c r="J38" s="353" t="s">
        <v>357</v>
      </c>
      <c r="K38" s="370">
        <v>100</v>
      </c>
      <c r="L38" s="671" t="s">
        <v>623</v>
      </c>
    </row>
    <row r="39" spans="2:14" ht="15.9">
      <c r="J39" s="353" t="s">
        <v>358</v>
      </c>
      <c r="K39" s="370">
        <v>90</v>
      </c>
      <c r="L39" s="671" t="s">
        <v>623</v>
      </c>
    </row>
    <row r="40" spans="2:14" ht="15.9">
      <c r="B40" s="381" t="s">
        <v>359</v>
      </c>
      <c r="J40" s="160" t="s">
        <v>360</v>
      </c>
      <c r="K40" s="382">
        <v>60</v>
      </c>
      <c r="L40" s="671" t="s">
        <v>623</v>
      </c>
    </row>
    <row r="41" spans="2:14" ht="20.149999999999999" customHeight="1">
      <c r="B41" s="498" t="s">
        <v>30</v>
      </c>
      <c r="C41" s="499">
        <f>SUM(C35:C38)</f>
        <v>3320.3667617427641</v>
      </c>
      <c r="D41" s="499">
        <f t="shared" ref="D41:H41" si="4">SUM(D35:D38)</f>
        <v>9214.7217369900827</v>
      </c>
      <c r="E41" s="499">
        <f t="shared" si="4"/>
        <v>14628.313016913962</v>
      </c>
      <c r="F41" s="499">
        <f t="shared" si="4"/>
        <v>31367.301548624921</v>
      </c>
      <c r="G41" s="499">
        <f t="shared" si="4"/>
        <v>13527.84670697398</v>
      </c>
      <c r="H41" s="499">
        <f t="shared" si="4"/>
        <v>9214.7217369900827</v>
      </c>
      <c r="J41" s="383" t="s">
        <v>361</v>
      </c>
      <c r="K41" s="384" t="s">
        <v>300</v>
      </c>
      <c r="L41" s="371" t="s">
        <v>362</v>
      </c>
      <c r="M41" s="371" t="s">
        <v>321</v>
      </c>
    </row>
    <row r="42" spans="2:14" ht="15.9">
      <c r="B42" s="359" t="s">
        <v>30</v>
      </c>
      <c r="C42" s="385">
        <v>307.44136682803367</v>
      </c>
      <c r="D42" s="385">
        <v>853.21497564722983</v>
      </c>
      <c r="E42" s="385">
        <v>1354.4734274920334</v>
      </c>
      <c r="F42" s="385">
        <v>2904.3797730208257</v>
      </c>
      <c r="G42" s="385">
        <v>1252.5783987938869</v>
      </c>
      <c r="H42" s="385">
        <v>853.21497564722983</v>
      </c>
      <c r="J42" s="240" t="s">
        <v>363</v>
      </c>
      <c r="K42" s="386">
        <v>165</v>
      </c>
      <c r="L42" s="372">
        <v>200</v>
      </c>
      <c r="M42" s="372">
        <f>+L42*0.3</f>
        <v>60</v>
      </c>
    </row>
    <row r="43" spans="2:14" ht="15.9">
      <c r="B43" s="494" t="s">
        <v>14</v>
      </c>
      <c r="C43" s="495">
        <f>+C41</f>
        <v>3320.3667617427641</v>
      </c>
      <c r="D43" s="495">
        <f t="shared" ref="D43:H43" si="5">+D41</f>
        <v>9214.7217369900827</v>
      </c>
      <c r="E43" s="495">
        <f t="shared" si="5"/>
        <v>14628.313016913962</v>
      </c>
      <c r="F43" s="495">
        <f t="shared" si="5"/>
        <v>31367.301548624921</v>
      </c>
      <c r="G43" s="495">
        <f t="shared" si="5"/>
        <v>13527.84670697398</v>
      </c>
      <c r="H43" s="495">
        <f t="shared" si="5"/>
        <v>9214.7217369900827</v>
      </c>
      <c r="J43" s="353" t="s">
        <v>364</v>
      </c>
      <c r="K43" s="370">
        <v>520</v>
      </c>
      <c r="L43" s="373">
        <v>230</v>
      </c>
      <c r="M43" s="372">
        <f t="shared" ref="M43:M46" si="6">+L43*0.3</f>
        <v>69</v>
      </c>
    </row>
    <row r="44" spans="2:14" ht="15.9">
      <c r="B44" s="496" t="s">
        <v>32</v>
      </c>
      <c r="C44" s="495">
        <f>+C43/10.8</f>
        <v>307.44136682803367</v>
      </c>
      <c r="D44" s="495">
        <f t="shared" ref="D44:H44" si="7">+D43/10.8</f>
        <v>853.21497564722983</v>
      </c>
      <c r="E44" s="495">
        <f t="shared" si="7"/>
        <v>1354.4734274920334</v>
      </c>
      <c r="F44" s="495">
        <f t="shared" si="7"/>
        <v>2904.3797730208257</v>
      </c>
      <c r="G44" s="495">
        <f t="shared" si="7"/>
        <v>1252.5783987938869</v>
      </c>
      <c r="H44" s="495">
        <f t="shared" si="7"/>
        <v>853.21497564722983</v>
      </c>
      <c r="J44" s="353" t="s">
        <v>365</v>
      </c>
      <c r="K44" s="370">
        <v>2520</v>
      </c>
      <c r="L44" s="373">
        <v>400</v>
      </c>
      <c r="M44" s="372">
        <f t="shared" si="6"/>
        <v>120</v>
      </c>
    </row>
    <row r="45" spans="2:14" ht="15.9">
      <c r="J45" s="353" t="s">
        <v>366</v>
      </c>
      <c r="K45" s="370">
        <v>200</v>
      </c>
      <c r="L45" s="373">
        <v>200</v>
      </c>
      <c r="M45" s="372">
        <f t="shared" si="6"/>
        <v>60</v>
      </c>
    </row>
    <row r="46" spans="2:14" ht="15.9">
      <c r="B46" s="387"/>
      <c r="C46" s="387"/>
      <c r="D46" s="387"/>
      <c r="E46" s="387"/>
      <c r="F46" s="387"/>
      <c r="G46" s="387"/>
      <c r="H46" s="387"/>
      <c r="J46" s="353" t="s">
        <v>367</v>
      </c>
      <c r="K46" s="370">
        <v>240</v>
      </c>
      <c r="L46" s="373">
        <v>200</v>
      </c>
      <c r="M46" s="372">
        <f t="shared" si="6"/>
        <v>60</v>
      </c>
    </row>
    <row r="47" spans="2:14" ht="15.9">
      <c r="J47" s="353" t="s">
        <v>368</v>
      </c>
      <c r="K47" s="370">
        <v>3000</v>
      </c>
      <c r="L47" s="373"/>
      <c r="M47" s="373">
        <f>9*365</f>
        <v>3285</v>
      </c>
    </row>
    <row r="48" spans="2:14" ht="15.9">
      <c r="J48" s="353" t="s">
        <v>369</v>
      </c>
      <c r="K48" s="370">
        <v>75</v>
      </c>
      <c r="L48" s="373"/>
      <c r="M48" s="373">
        <v>330</v>
      </c>
    </row>
    <row r="49" spans="2:13" ht="20.6">
      <c r="B49" s="351" t="str">
        <f>+B3</f>
        <v>Categoria general</v>
      </c>
      <c r="G49" s="160">
        <v>2021</v>
      </c>
      <c r="J49" s="353" t="s">
        <v>108</v>
      </c>
      <c r="K49" s="370">
        <v>80</v>
      </c>
      <c r="L49" s="373"/>
      <c r="M49" s="373">
        <v>350</v>
      </c>
    </row>
    <row r="50" spans="2:13" ht="36.9">
      <c r="B50" s="356"/>
      <c r="C50" s="357" t="str">
        <f t="shared" ref="B50:H52" si="8">+C4</f>
        <v>Primer Cuart</v>
      </c>
      <c r="D50" s="357" t="str">
        <f t="shared" si="8"/>
        <v>Seg. Cuart</v>
      </c>
      <c r="E50" s="357" t="str">
        <f t="shared" si="8"/>
        <v>Terc. Cuart</v>
      </c>
      <c r="F50" s="357" t="str">
        <f t="shared" si="8"/>
        <v>Cuart. Cuart</v>
      </c>
      <c r="G50" s="358" t="str">
        <f t="shared" si="8"/>
        <v>kWh/año</v>
      </c>
      <c r="H50" s="358" t="str">
        <f t="shared" si="8"/>
        <v>kWh/año</v>
      </c>
      <c r="J50" s="353" t="s">
        <v>370</v>
      </c>
      <c r="K50" s="370">
        <v>65</v>
      </c>
      <c r="L50" s="373"/>
      <c r="M50" s="373">
        <v>280</v>
      </c>
    </row>
    <row r="51" spans="2:13" ht="36.9">
      <c r="B51" s="360"/>
      <c r="C51" s="357" t="str">
        <f t="shared" si="8"/>
        <v>Primer Cuart</v>
      </c>
      <c r="D51" s="357" t="str">
        <f t="shared" si="8"/>
        <v>Seg. Cuart</v>
      </c>
      <c r="E51" s="357" t="str">
        <f t="shared" si="8"/>
        <v>Terc. Cuart</v>
      </c>
      <c r="F51" s="357" t="str">
        <f t="shared" si="8"/>
        <v>Cuart. Cuart</v>
      </c>
      <c r="G51" s="361" t="str">
        <f t="shared" si="8"/>
        <v>Promedio</v>
      </c>
      <c r="H51" s="362" t="str">
        <f t="shared" si="8"/>
        <v>Eficiente</v>
      </c>
      <c r="J51" s="353" t="s">
        <v>371</v>
      </c>
      <c r="K51" s="370">
        <v>64</v>
      </c>
      <c r="L51" s="373"/>
      <c r="M51" s="373">
        <v>280</v>
      </c>
    </row>
    <row r="52" spans="2:13" ht="15.9">
      <c r="B52" s="359" t="str">
        <f t="shared" si="8"/>
        <v>Heladera</v>
      </c>
      <c r="C52" s="363">
        <f t="shared" si="8"/>
        <v>361.11275000000001</v>
      </c>
      <c r="D52" s="363">
        <f t="shared" si="8"/>
        <v>598.18025</v>
      </c>
      <c r="E52" s="363">
        <f t="shared" si="8"/>
        <v>834.86085000000003</v>
      </c>
      <c r="F52" s="363">
        <f t="shared" si="8"/>
        <v>1800.17635</v>
      </c>
      <c r="G52" s="359">
        <f t="shared" si="8"/>
        <v>860.65497011116645</v>
      </c>
      <c r="H52" s="364">
        <f t="shared" si="8"/>
        <v>361.11275000000001</v>
      </c>
      <c r="J52" s="353" t="s">
        <v>372</v>
      </c>
      <c r="K52" s="370">
        <v>55</v>
      </c>
      <c r="L52" s="373"/>
      <c r="M52" s="373">
        <v>240</v>
      </c>
    </row>
    <row r="53" spans="2:13" ht="15.9">
      <c r="B53" s="359" t="str">
        <f t="shared" ref="B53:H53" si="9">+B7</f>
        <v>AA-Refrigeración</v>
      </c>
      <c r="C53" s="363">
        <f t="shared" si="9"/>
        <v>40.848260869565223</v>
      </c>
      <c r="D53" s="363">
        <f t="shared" si="9"/>
        <v>215.14826086956523</v>
      </c>
      <c r="E53" s="363">
        <f t="shared" si="9"/>
        <v>570.87249999999995</v>
      </c>
      <c r="F53" s="363">
        <f t="shared" si="9"/>
        <v>2476.8225000000002</v>
      </c>
      <c r="G53" s="359">
        <f t="shared" si="9"/>
        <v>647.43321257889158</v>
      </c>
      <c r="H53" s="364">
        <f t="shared" si="9"/>
        <v>215.14826086956523</v>
      </c>
      <c r="J53" s="353" t="s">
        <v>373</v>
      </c>
      <c r="K53" s="370">
        <v>800</v>
      </c>
      <c r="L53" s="373"/>
      <c r="M53" s="373">
        <f>+K53*0.365*0.5</f>
        <v>146</v>
      </c>
    </row>
    <row r="54" spans="2:13" ht="15.9">
      <c r="B54" s="359" t="str">
        <f t="shared" ref="B54:H54" si="10">+B8</f>
        <v>Ilumin.</v>
      </c>
      <c r="C54" s="363">
        <f t="shared" si="10"/>
        <v>74.936324999999997</v>
      </c>
      <c r="D54" s="363">
        <f t="shared" si="10"/>
        <v>189.50982500000001</v>
      </c>
      <c r="E54" s="363">
        <f t="shared" si="10"/>
        <v>372.41634375000001</v>
      </c>
      <c r="F54" s="363">
        <f t="shared" si="10"/>
        <v>2499.6728437500001</v>
      </c>
      <c r="G54" s="359">
        <f t="shared" si="10"/>
        <v>416.25964705815971</v>
      </c>
      <c r="H54" s="364">
        <f t="shared" si="10"/>
        <v>85</v>
      </c>
      <c r="J54" s="353" t="s">
        <v>374</v>
      </c>
      <c r="K54" s="370">
        <v>1300</v>
      </c>
      <c r="L54" s="373"/>
      <c r="M54" s="374">
        <f>+K54*0.365*0.5</f>
        <v>237.25</v>
      </c>
    </row>
    <row r="55" spans="2:13" ht="15.9">
      <c r="B55" s="359" t="str">
        <f t="shared" ref="B55:H55" si="11">+B9</f>
        <v>otros</v>
      </c>
      <c r="C55" s="363">
        <f t="shared" si="11"/>
        <v>12.169374999999999</v>
      </c>
      <c r="D55" s="363">
        <f t="shared" si="11"/>
        <v>54.153194999999997</v>
      </c>
      <c r="E55" s="363">
        <f t="shared" si="11"/>
        <v>215.86724499999997</v>
      </c>
      <c r="F55" s="363">
        <f t="shared" si="11"/>
        <v>1922.0820425115212</v>
      </c>
      <c r="G55" s="359">
        <f t="shared" si="11"/>
        <v>307.51389305922214</v>
      </c>
      <c r="H55" s="364">
        <f t="shared" si="11"/>
        <v>54.153194999999997</v>
      </c>
      <c r="J55" s="4" t="s">
        <v>545</v>
      </c>
      <c r="K55" s="491"/>
      <c r="L55" s="239">
        <v>849</v>
      </c>
      <c r="M55" s="639">
        <f>+L55*0.3</f>
        <v>254.7</v>
      </c>
    </row>
    <row r="56" spans="2:13">
      <c r="B56" s="359" t="str">
        <f t="shared" ref="B56:H56" si="12">+B10</f>
        <v>Cale.E.</v>
      </c>
      <c r="C56" s="363">
        <f t="shared" si="12"/>
        <v>0.74825000000000008</v>
      </c>
      <c r="D56" s="363">
        <f t="shared" si="12"/>
        <v>59.402163043478261</v>
      </c>
      <c r="E56" s="363">
        <f t="shared" si="12"/>
        <v>213.11016304347828</v>
      </c>
      <c r="F56" s="363">
        <f t="shared" si="12"/>
        <v>1060.3062500000001</v>
      </c>
      <c r="G56" s="359">
        <f t="shared" si="12"/>
        <v>289.04725830406909</v>
      </c>
      <c r="H56" s="364">
        <f t="shared" si="12"/>
        <v>59.402163043478261</v>
      </c>
      <c r="J56" s="4" t="s">
        <v>592</v>
      </c>
      <c r="K56" s="2"/>
      <c r="L56" s="239">
        <v>250</v>
      </c>
      <c r="M56" s="239">
        <f>+L56*0.3</f>
        <v>75</v>
      </c>
    </row>
    <row r="57" spans="2:13" ht="44.6">
      <c r="B57" s="359" t="str">
        <f t="shared" ref="B57:H57" si="13">+B11</f>
        <v>Inform.</v>
      </c>
      <c r="C57" s="363">
        <f t="shared" si="13"/>
        <v>52.775350000000003</v>
      </c>
      <c r="D57" s="363">
        <f t="shared" si="13"/>
        <v>124.64750000000001</v>
      </c>
      <c r="E57" s="363">
        <f t="shared" si="13"/>
        <v>251.05749374999999</v>
      </c>
      <c r="F57" s="363">
        <f t="shared" si="13"/>
        <v>1166.8424937499999</v>
      </c>
      <c r="G57" s="359">
        <f t="shared" si="13"/>
        <v>273.22605854316248</v>
      </c>
      <c r="H57" s="364">
        <f t="shared" si="13"/>
        <v>124.64750000000001</v>
      </c>
      <c r="J57" s="378" t="s">
        <v>375</v>
      </c>
      <c r="K57" s="384" t="s">
        <v>300</v>
      </c>
      <c r="L57" s="371" t="s">
        <v>362</v>
      </c>
      <c r="M57" s="371" t="s">
        <v>321</v>
      </c>
    </row>
    <row r="58" spans="2:13" ht="15.9">
      <c r="B58" s="359" t="str">
        <f t="shared" ref="B58:H58" si="14">+B12</f>
        <v>TV+Radio+Electr.</v>
      </c>
      <c r="C58" s="363">
        <f t="shared" si="14"/>
        <v>58.783250000000002</v>
      </c>
      <c r="D58" s="363">
        <f t="shared" si="14"/>
        <v>161.43950000000001</v>
      </c>
      <c r="E58" s="363">
        <f t="shared" si="14"/>
        <v>266.72375</v>
      </c>
      <c r="F58" s="363">
        <f t="shared" si="14"/>
        <v>654.37200000000007</v>
      </c>
      <c r="G58" s="359">
        <f t="shared" si="14"/>
        <v>253.04223080046506</v>
      </c>
      <c r="H58" s="364">
        <f t="shared" si="14"/>
        <v>161.43950000000001</v>
      </c>
      <c r="J58" s="353" t="s">
        <v>376</v>
      </c>
      <c r="K58" s="370">
        <v>300</v>
      </c>
      <c r="L58" s="373"/>
      <c r="M58" s="374">
        <f>+K58*0.365*0.25</f>
        <v>27.375</v>
      </c>
    </row>
    <row r="59" spans="2:13" ht="15.9">
      <c r="B59" s="359" t="str">
        <f t="shared" ref="B59:H59" si="15">+B13</f>
        <v>HornoE</v>
      </c>
      <c r="C59" s="363">
        <f t="shared" si="15"/>
        <v>0</v>
      </c>
      <c r="D59" s="363">
        <f t="shared" si="15"/>
        <v>4.5421567249999999</v>
      </c>
      <c r="E59" s="363">
        <f t="shared" si="15"/>
        <v>144.61090672500001</v>
      </c>
      <c r="F59" s="363">
        <f t="shared" si="15"/>
        <v>495.92425000000003</v>
      </c>
      <c r="G59" s="359">
        <f t="shared" si="15"/>
        <v>159.41790991642856</v>
      </c>
      <c r="H59" s="364">
        <f t="shared" si="15"/>
        <v>4.5421567249999999</v>
      </c>
      <c r="J59" s="353" t="s">
        <v>377</v>
      </c>
      <c r="K59" s="370">
        <v>750</v>
      </c>
      <c r="L59" s="373"/>
      <c r="M59" s="374">
        <f t="shared" ref="M59:M69" si="16">+K59*0.365*0.25</f>
        <v>68.4375</v>
      </c>
    </row>
    <row r="60" spans="2:13" ht="15.9">
      <c r="B60" s="359" t="str">
        <f t="shared" ref="B60:H60" si="17">+B14</f>
        <v>Bomba</v>
      </c>
      <c r="C60" s="363">
        <f t="shared" si="17"/>
        <v>0</v>
      </c>
      <c r="D60" s="363">
        <f t="shared" si="17"/>
        <v>34.80046875</v>
      </c>
      <c r="E60" s="363">
        <f t="shared" si="17"/>
        <v>170.80046874999999</v>
      </c>
      <c r="F60" s="363">
        <f t="shared" si="17"/>
        <v>517.42499999999995</v>
      </c>
      <c r="G60" s="359">
        <f t="shared" si="17"/>
        <v>154.47228825757577</v>
      </c>
      <c r="H60" s="364">
        <f t="shared" si="17"/>
        <v>34.80046875</v>
      </c>
      <c r="J60" s="353" t="s">
        <v>378</v>
      </c>
      <c r="K60" s="370">
        <v>90</v>
      </c>
      <c r="L60" s="373"/>
      <c r="M60" s="374">
        <f t="shared" si="16"/>
        <v>8.2125000000000004</v>
      </c>
    </row>
    <row r="61" spans="2:13" ht="15.9">
      <c r="B61" s="359" t="str">
        <f t="shared" ref="B61:H61" si="18">+B15</f>
        <v>Stand By</v>
      </c>
      <c r="C61" s="363">
        <f t="shared" si="18"/>
        <v>21.157832907500001</v>
      </c>
      <c r="D61" s="363">
        <f t="shared" si="18"/>
        <v>61.891832907499996</v>
      </c>
      <c r="E61" s="363">
        <f t="shared" si="18"/>
        <v>117.47525</v>
      </c>
      <c r="F61" s="363">
        <f t="shared" si="18"/>
        <v>483.26219000000003</v>
      </c>
      <c r="G61" s="359">
        <f t="shared" si="18"/>
        <v>123.28066354408449</v>
      </c>
      <c r="H61" s="364">
        <f t="shared" si="18"/>
        <v>61.891832907499996</v>
      </c>
      <c r="J61" s="353" t="s">
        <v>379</v>
      </c>
      <c r="K61" s="370">
        <v>500</v>
      </c>
      <c r="L61" s="373"/>
      <c r="M61" s="374">
        <f t="shared" si="16"/>
        <v>45.625</v>
      </c>
    </row>
    <row r="62" spans="2:13" ht="15.9">
      <c r="B62" s="359" t="str">
        <f t="shared" ref="B62:H62" si="19">+B16</f>
        <v>Lavarropa</v>
      </c>
      <c r="C62" s="363">
        <f t="shared" si="19"/>
        <v>15.007990196078433</v>
      </c>
      <c r="D62" s="363">
        <f t="shared" si="19"/>
        <v>40.085500000000003</v>
      </c>
      <c r="E62" s="363">
        <f t="shared" si="19"/>
        <v>88.521999999999991</v>
      </c>
      <c r="F62" s="363">
        <f t="shared" si="19"/>
        <v>368.286</v>
      </c>
      <c r="G62" s="359">
        <f t="shared" si="19"/>
        <v>150</v>
      </c>
      <c r="H62" s="364">
        <f t="shared" si="19"/>
        <v>50</v>
      </c>
      <c r="J62" s="353" t="s">
        <v>1</v>
      </c>
      <c r="K62" s="370">
        <v>1000</v>
      </c>
      <c r="L62" s="373"/>
      <c r="M62" s="374">
        <f t="shared" si="16"/>
        <v>91.25</v>
      </c>
    </row>
    <row r="63" spans="2:13" ht="15.9">
      <c r="B63" s="359" t="str">
        <f t="shared" ref="B63:H63" si="20">+B17</f>
        <v>Cafetera</v>
      </c>
      <c r="C63" s="363">
        <f t="shared" si="20"/>
        <v>5.6574999999999998</v>
      </c>
      <c r="D63" s="363">
        <f t="shared" si="20"/>
        <v>28.871499999999994</v>
      </c>
      <c r="E63" s="363">
        <f t="shared" si="20"/>
        <v>76.472062499999993</v>
      </c>
      <c r="F63" s="363">
        <f t="shared" si="20"/>
        <v>377.92556249999996</v>
      </c>
      <c r="G63" s="359">
        <f t="shared" si="20"/>
        <v>98.716022050207798</v>
      </c>
      <c r="H63" s="364">
        <f t="shared" si="20"/>
        <v>28.871499999999994</v>
      </c>
      <c r="J63" s="353" t="s">
        <v>380</v>
      </c>
      <c r="K63" s="370">
        <v>110</v>
      </c>
      <c r="L63" s="373"/>
      <c r="M63" s="374">
        <f t="shared" si="16"/>
        <v>10.0375</v>
      </c>
    </row>
    <row r="64" spans="2:13" ht="15.9">
      <c r="B64" s="359" t="str">
        <f t="shared" ref="B64:H64" si="21">+B18</f>
        <v>Microonda</v>
      </c>
      <c r="C64" s="363">
        <f t="shared" si="21"/>
        <v>13.282500000000001</v>
      </c>
      <c r="D64" s="363">
        <f t="shared" si="21"/>
        <v>46.815937500000004</v>
      </c>
      <c r="E64" s="363">
        <f t="shared" si="21"/>
        <v>97.092812500000008</v>
      </c>
      <c r="F64" s="363">
        <f t="shared" si="21"/>
        <v>191.30237499999998</v>
      </c>
      <c r="G64" s="359">
        <f t="shared" si="21"/>
        <v>83.605283188715291</v>
      </c>
      <c r="H64" s="364">
        <f t="shared" si="21"/>
        <v>46.815937500000004</v>
      </c>
      <c r="J64" s="353" t="s">
        <v>381</v>
      </c>
      <c r="K64" s="370">
        <v>500</v>
      </c>
      <c r="L64" s="373"/>
      <c r="M64" s="374">
        <f t="shared" si="16"/>
        <v>45.625</v>
      </c>
    </row>
    <row r="65" spans="2:13" ht="15.9">
      <c r="B65" s="359" t="str">
        <f t="shared" ref="B65:H65" si="22">+B19</f>
        <v>Planchado</v>
      </c>
      <c r="C65" s="363">
        <f t="shared" si="22"/>
        <v>5.49</v>
      </c>
      <c r="D65" s="363">
        <f t="shared" si="22"/>
        <v>24.115000000000002</v>
      </c>
      <c r="E65" s="363">
        <f t="shared" si="22"/>
        <v>65.390625</v>
      </c>
      <c r="F65" s="363">
        <f t="shared" si="22"/>
        <v>338.765625</v>
      </c>
      <c r="G65" s="359">
        <f t="shared" si="22"/>
        <v>78.87899090443122</v>
      </c>
      <c r="H65" s="364">
        <f t="shared" si="22"/>
        <v>24.115000000000002</v>
      </c>
      <c r="J65" s="353" t="s">
        <v>382</v>
      </c>
      <c r="K65" s="370">
        <v>750</v>
      </c>
      <c r="L65" s="373"/>
      <c r="M65" s="374">
        <f t="shared" si="16"/>
        <v>68.4375</v>
      </c>
    </row>
    <row r="66" spans="2:13" ht="15.9">
      <c r="B66" s="359" t="str">
        <f t="shared" ref="B66:H66" si="23">+B20</f>
        <v>Secador P.</v>
      </c>
      <c r="C66" s="363">
        <f t="shared" si="23"/>
        <v>0.91249999999999998</v>
      </c>
      <c r="D66" s="363">
        <f t="shared" si="23"/>
        <v>9.9333333333333336</v>
      </c>
      <c r="E66" s="363">
        <f t="shared" si="23"/>
        <v>38.803333333333335</v>
      </c>
      <c r="F66" s="363">
        <f t="shared" si="23"/>
        <v>211.55250000000001</v>
      </c>
      <c r="G66" s="359">
        <f t="shared" si="23"/>
        <v>58.245038135897445</v>
      </c>
      <c r="H66" s="364">
        <f t="shared" si="23"/>
        <v>9.9333333333333336</v>
      </c>
      <c r="J66" s="353" t="s">
        <v>3</v>
      </c>
      <c r="K66" s="370">
        <v>900</v>
      </c>
      <c r="L66" s="373"/>
      <c r="M66" s="374">
        <f t="shared" si="16"/>
        <v>82.125</v>
      </c>
    </row>
    <row r="67" spans="2:13" ht="15.9">
      <c r="B67" s="504" t="str">
        <f t="shared" ref="B67:H67" si="24">+B21</f>
        <v>Total EE (kWh/Año)</v>
      </c>
      <c r="C67" s="504">
        <f t="shared" si="24"/>
        <v>662.88188397314377</v>
      </c>
      <c r="D67" s="504">
        <f t="shared" si="24"/>
        <v>1653.5364231288768</v>
      </c>
      <c r="E67" s="504">
        <f t="shared" si="24"/>
        <v>3524.0758043518117</v>
      </c>
      <c r="F67" s="504">
        <f t="shared" si="24"/>
        <v>14564.71798251152</v>
      </c>
      <c r="G67" s="504">
        <f t="shared" si="24"/>
        <v>3953.7934664524769</v>
      </c>
      <c r="H67" s="504">
        <f t="shared" si="24"/>
        <v>1321.8735981288769</v>
      </c>
      <c r="J67" s="353" t="s">
        <v>383</v>
      </c>
      <c r="K67" s="370">
        <v>550</v>
      </c>
      <c r="L67" s="373"/>
      <c r="M67" s="374">
        <f t="shared" si="16"/>
        <v>50.1875</v>
      </c>
    </row>
    <row r="68" spans="2:13" ht="15.9">
      <c r="B68" s="503"/>
      <c r="C68" s="503" t="str">
        <f t="shared" ref="C68:F68" si="25">+D68</f>
        <v>kWh/Año</v>
      </c>
      <c r="D68" s="503" t="str">
        <f t="shared" si="25"/>
        <v>kWh/Año</v>
      </c>
      <c r="E68" s="503" t="str">
        <f t="shared" si="25"/>
        <v>kWh/Año</v>
      </c>
      <c r="F68" s="503" t="str">
        <f t="shared" si="25"/>
        <v>kWh/Año</v>
      </c>
      <c r="G68" s="503" t="str">
        <f>+H68</f>
        <v>kWh/Año</v>
      </c>
      <c r="H68" s="503" t="str">
        <f t="shared" ref="H68" si="26">+H22</f>
        <v>kWh/Año</v>
      </c>
      <c r="J68" s="353" t="s">
        <v>384</v>
      </c>
      <c r="K68" s="370">
        <v>25</v>
      </c>
      <c r="L68" s="373"/>
      <c r="M68" s="374">
        <f t="shared" si="16"/>
        <v>2.28125</v>
      </c>
    </row>
    <row r="69" spans="2:13" ht="15.9">
      <c r="B69" s="497"/>
      <c r="C69" s="497" t="str">
        <f t="shared" ref="C69:H69" si="27">+C34</f>
        <v>Primer Cuart</v>
      </c>
      <c r="D69" s="497" t="str">
        <f t="shared" si="27"/>
        <v>Seg. Cuart</v>
      </c>
      <c r="E69" s="497" t="str">
        <f t="shared" si="27"/>
        <v>Terc. Cuart</v>
      </c>
      <c r="F69" s="497" t="str">
        <f t="shared" si="27"/>
        <v>Cuart. Cuart</v>
      </c>
      <c r="G69" s="497" t="str">
        <f t="shared" si="27"/>
        <v>Promedio (KWh)</v>
      </c>
      <c r="H69" s="497" t="str">
        <f t="shared" si="27"/>
        <v>Eficiente (kWh)</v>
      </c>
      <c r="J69" s="353" t="s">
        <v>385</v>
      </c>
      <c r="K69" s="370">
        <v>2000</v>
      </c>
      <c r="L69" s="373"/>
      <c r="M69" s="374">
        <f t="shared" si="16"/>
        <v>182.5</v>
      </c>
    </row>
    <row r="70" spans="2:13" ht="15.9">
      <c r="B70" s="501" t="str">
        <f t="shared" ref="B70:H76" si="28">+B35</f>
        <v>Calefacción</v>
      </c>
      <c r="C70" s="501">
        <f t="shared" si="28"/>
        <v>999.90924657533935</v>
      </c>
      <c r="D70" s="501">
        <f t="shared" si="28"/>
        <v>3857.1610287671106</v>
      </c>
      <c r="E70" s="501">
        <f t="shared" si="28"/>
        <v>7334.1787821917569</v>
      </c>
      <c r="F70" s="501">
        <f t="shared" si="28"/>
        <v>14936.36398041662</v>
      </c>
      <c r="G70" s="501">
        <f t="shared" si="28"/>
        <v>6291.2463251496765</v>
      </c>
      <c r="H70" s="501">
        <f t="shared" si="28"/>
        <v>3857.1610287671106</v>
      </c>
      <c r="J70" s="353" t="s">
        <v>386</v>
      </c>
      <c r="K70" s="370">
        <v>1200</v>
      </c>
      <c r="L70" s="373"/>
      <c r="M70" s="374">
        <f>+K70*0.5*0.365</f>
        <v>219</v>
      </c>
    </row>
    <row r="71" spans="2:13" ht="18.45">
      <c r="B71" s="501" t="str">
        <f t="shared" si="28"/>
        <v>CAS</v>
      </c>
      <c r="C71" s="501">
        <f t="shared" si="28"/>
        <v>819.89891794520554</v>
      </c>
      <c r="D71" s="501">
        <f t="shared" si="28"/>
        <v>2216.6857235007565</v>
      </c>
      <c r="E71" s="501">
        <f t="shared" si="28"/>
        <v>3355.8868055555513</v>
      </c>
      <c r="F71" s="501">
        <f t="shared" si="28"/>
        <v>7815.2205998749814</v>
      </c>
      <c r="G71" s="501">
        <f t="shared" si="28"/>
        <v>3296.7977623042702</v>
      </c>
      <c r="H71" s="501">
        <f t="shared" si="28"/>
        <v>2216.6857235007565</v>
      </c>
      <c r="J71" s="378" t="s">
        <v>387</v>
      </c>
      <c r="K71" s="370"/>
      <c r="L71" s="373"/>
      <c r="M71" s="373"/>
    </row>
    <row r="72" spans="2:13" ht="15.9">
      <c r="B72" s="501" t="str">
        <f t="shared" si="28"/>
        <v>Piloto</v>
      </c>
      <c r="C72" s="501">
        <f t="shared" si="28"/>
        <v>986.76229166666519</v>
      </c>
      <c r="D72" s="501">
        <f t="shared" si="28"/>
        <v>2072.2008124999952</v>
      </c>
      <c r="E72" s="501">
        <f t="shared" si="28"/>
        <v>2477.7195624999922</v>
      </c>
      <c r="F72" s="501">
        <f t="shared" si="28"/>
        <v>4887.3119749999951</v>
      </c>
      <c r="G72" s="501">
        <f t="shared" si="28"/>
        <v>2442.5535996444887</v>
      </c>
      <c r="H72" s="501">
        <f t="shared" si="28"/>
        <v>2072.2008124999952</v>
      </c>
      <c r="J72" s="353" t="s">
        <v>69</v>
      </c>
      <c r="K72" s="370"/>
      <c r="L72" s="373"/>
      <c r="M72" s="373"/>
    </row>
    <row r="73" spans="2:13" ht="15.9">
      <c r="B73" s="501" t="str">
        <f t="shared" si="28"/>
        <v>Cocción</v>
      </c>
      <c r="C73" s="501">
        <f t="shared" si="28"/>
        <v>513.79630555555411</v>
      </c>
      <c r="D73" s="501">
        <f t="shared" si="28"/>
        <v>1068.6741722222187</v>
      </c>
      <c r="E73" s="501">
        <f t="shared" si="28"/>
        <v>1460.5278666666645</v>
      </c>
      <c r="F73" s="501">
        <f t="shared" si="28"/>
        <v>3728.4049933333245</v>
      </c>
      <c r="G73" s="501">
        <f t="shared" si="28"/>
        <v>1497.249019875544</v>
      </c>
      <c r="H73" s="501">
        <f t="shared" si="28"/>
        <v>1068.6741722222187</v>
      </c>
      <c r="J73" s="353" t="s">
        <v>388</v>
      </c>
      <c r="K73" s="370">
        <v>370</v>
      </c>
      <c r="L73" s="373"/>
      <c r="M73" s="373"/>
    </row>
    <row r="74" spans="2:13" ht="15.9">
      <c r="B74" s="500"/>
      <c r="C74" s="500"/>
      <c r="D74" s="500"/>
      <c r="E74" s="500"/>
      <c r="F74" s="500"/>
      <c r="G74" s="500"/>
      <c r="H74" s="500"/>
      <c r="J74" s="353" t="s">
        <v>389</v>
      </c>
      <c r="K74" s="370">
        <v>550</v>
      </c>
      <c r="L74" s="373"/>
      <c r="M74" s="373"/>
    </row>
    <row r="75" spans="2:13" ht="15.9">
      <c r="B75" s="502" t="s">
        <v>23</v>
      </c>
      <c r="C75" s="502"/>
      <c r="D75" s="502"/>
      <c r="E75" s="502"/>
      <c r="F75" s="502"/>
      <c r="G75" s="502"/>
      <c r="H75" s="502"/>
      <c r="J75" s="353" t="s">
        <v>390</v>
      </c>
      <c r="K75" s="370">
        <v>750</v>
      </c>
      <c r="L75" s="373"/>
      <c r="M75" s="373"/>
    </row>
    <row r="76" spans="2:13" ht="18.45">
      <c r="B76" s="502" t="str">
        <f t="shared" si="28"/>
        <v>TOTAL_GAS</v>
      </c>
      <c r="C76" s="502">
        <f t="shared" si="28"/>
        <v>3320.3667617427641</v>
      </c>
      <c r="D76" s="502">
        <f t="shared" si="28"/>
        <v>9214.7217369900827</v>
      </c>
      <c r="E76" s="502">
        <f t="shared" si="28"/>
        <v>14628.313016913962</v>
      </c>
      <c r="F76" s="502">
        <f t="shared" si="28"/>
        <v>31367.301548624921</v>
      </c>
      <c r="G76" s="502">
        <f t="shared" si="28"/>
        <v>13527.84670697398</v>
      </c>
      <c r="H76" s="502">
        <f t="shared" si="28"/>
        <v>9214.7217369900827</v>
      </c>
      <c r="J76" s="378" t="s">
        <v>391</v>
      </c>
      <c r="K76" s="370"/>
      <c r="L76" s="373"/>
      <c r="M76" s="373"/>
    </row>
    <row r="77" spans="2:13" ht="15.9">
      <c r="B77" s="505" t="str">
        <f>+B42</f>
        <v>TOTAL_GAS</v>
      </c>
      <c r="C77" s="505">
        <f t="shared" ref="C77:H77" si="29">+C42</f>
        <v>307.44136682803367</v>
      </c>
      <c r="D77" s="505">
        <f t="shared" si="29"/>
        <v>853.21497564722983</v>
      </c>
      <c r="E77" s="505">
        <f t="shared" si="29"/>
        <v>1354.4734274920334</v>
      </c>
      <c r="F77" s="505">
        <f t="shared" si="29"/>
        <v>2904.3797730208257</v>
      </c>
      <c r="G77" s="505">
        <f t="shared" si="29"/>
        <v>1252.5783987938869</v>
      </c>
      <c r="H77" s="505">
        <f t="shared" si="29"/>
        <v>853.21497564722983</v>
      </c>
      <c r="J77" s="353" t="s">
        <v>392</v>
      </c>
      <c r="K77" s="370">
        <v>3000</v>
      </c>
      <c r="L77" s="373"/>
      <c r="M77" s="373"/>
    </row>
    <row r="78" spans="2:13" ht="15.9">
      <c r="J78" s="353" t="s">
        <v>393</v>
      </c>
      <c r="K78" s="370">
        <v>1800</v>
      </c>
      <c r="L78" s="373"/>
      <c r="M78" s="373"/>
    </row>
    <row r="79" spans="2:13" ht="15.9">
      <c r="J79" s="353" t="s">
        <v>394</v>
      </c>
      <c r="K79" s="370">
        <v>800</v>
      </c>
      <c r="L79" s="373"/>
      <c r="M79" s="373"/>
    </row>
    <row r="80" spans="2:13" ht="15.9">
      <c r="J80" s="353" t="s">
        <v>1</v>
      </c>
      <c r="K80" s="370">
        <v>1200</v>
      </c>
      <c r="L80" s="373"/>
      <c r="M80" s="373"/>
    </row>
    <row r="81" spans="10:13" ht="18.45">
      <c r="J81" s="378" t="s">
        <v>395</v>
      </c>
      <c r="K81" s="370"/>
      <c r="L81" s="373"/>
      <c r="M81" s="373"/>
    </row>
    <row r="82" spans="10:13" ht="18.45">
      <c r="J82" s="378" t="s">
        <v>396</v>
      </c>
      <c r="K82" s="370"/>
      <c r="L82" s="373"/>
      <c r="M82" s="373"/>
    </row>
    <row r="83" spans="10:13" ht="15.9">
      <c r="J83" s="353" t="s">
        <v>397</v>
      </c>
      <c r="K83" s="370">
        <v>15</v>
      </c>
      <c r="L83" s="373"/>
      <c r="M83" s="374">
        <f>+K83*4*0.365</f>
        <v>21.9</v>
      </c>
    </row>
    <row r="84" spans="10:13" ht="15.9">
      <c r="J84" s="353" t="s">
        <v>336</v>
      </c>
      <c r="K84" s="370">
        <v>35</v>
      </c>
      <c r="L84" s="373"/>
      <c r="M84" s="374">
        <f t="shared" ref="M84:M109" si="30">+K84*4*0.365</f>
        <v>51.1</v>
      </c>
    </row>
    <row r="85" spans="10:13" ht="15.9">
      <c r="J85" s="353" t="s">
        <v>338</v>
      </c>
      <c r="K85" s="370">
        <v>15</v>
      </c>
      <c r="L85" s="373"/>
      <c r="M85" s="374">
        <f t="shared" si="30"/>
        <v>21.9</v>
      </c>
    </row>
    <row r="86" spans="10:13" ht="15.9">
      <c r="J86" s="353" t="s">
        <v>339</v>
      </c>
      <c r="K86" s="370">
        <v>55</v>
      </c>
      <c r="L86" s="373"/>
      <c r="M86" s="374">
        <f t="shared" si="30"/>
        <v>80.3</v>
      </c>
    </row>
    <row r="87" spans="10:13" ht="15.9">
      <c r="J87" s="353" t="s">
        <v>341</v>
      </c>
      <c r="K87" s="370">
        <v>60</v>
      </c>
      <c r="L87" s="373"/>
      <c r="M87" s="374">
        <f t="shared" si="30"/>
        <v>87.6</v>
      </c>
    </row>
    <row r="88" spans="10:13" ht="15.9">
      <c r="J88" s="353" t="s">
        <v>343</v>
      </c>
      <c r="K88" s="370">
        <v>45</v>
      </c>
      <c r="L88" s="373"/>
      <c r="M88" s="374">
        <f t="shared" si="30"/>
        <v>65.7</v>
      </c>
    </row>
    <row r="89" spans="10:13" ht="15.9">
      <c r="J89" s="353" t="s">
        <v>344</v>
      </c>
      <c r="K89" s="370">
        <v>35</v>
      </c>
      <c r="L89" s="373"/>
      <c r="M89" s="374">
        <f t="shared" si="30"/>
        <v>51.1</v>
      </c>
    </row>
    <row r="90" spans="10:13" ht="15.9">
      <c r="J90" s="353" t="s">
        <v>345</v>
      </c>
      <c r="K90" s="370">
        <v>150</v>
      </c>
      <c r="L90" s="373"/>
      <c r="M90" s="374">
        <f t="shared" si="30"/>
        <v>219</v>
      </c>
    </row>
    <row r="91" spans="10:13" ht="15.9">
      <c r="J91" s="353" t="s">
        <v>398</v>
      </c>
      <c r="K91" s="370">
        <v>20</v>
      </c>
      <c r="L91" s="373"/>
      <c r="M91" s="374">
        <f t="shared" si="30"/>
        <v>29.2</v>
      </c>
    </row>
    <row r="92" spans="10:13" ht="15.9">
      <c r="J92" s="353" t="s">
        <v>399</v>
      </c>
      <c r="K92" s="388">
        <v>50</v>
      </c>
      <c r="M92" s="374">
        <f t="shared" si="30"/>
        <v>73</v>
      </c>
    </row>
    <row r="93" spans="10:13" ht="15.9">
      <c r="J93" s="353" t="s">
        <v>400</v>
      </c>
      <c r="K93" s="370">
        <v>25</v>
      </c>
      <c r="L93" s="373"/>
      <c r="M93" s="374">
        <f t="shared" si="30"/>
        <v>36.5</v>
      </c>
    </row>
    <row r="94" spans="10:13" ht="15.9">
      <c r="J94" s="353" t="s">
        <v>401</v>
      </c>
      <c r="K94" s="370">
        <v>450</v>
      </c>
      <c r="L94" s="373"/>
      <c r="M94" s="374">
        <f t="shared" si="30"/>
        <v>657</v>
      </c>
    </row>
    <row r="95" spans="10:13" ht="15.9">
      <c r="J95" s="353" t="s">
        <v>402</v>
      </c>
      <c r="K95" s="370">
        <v>150</v>
      </c>
      <c r="L95" s="373"/>
      <c r="M95" s="374">
        <f t="shared" si="30"/>
        <v>219</v>
      </c>
    </row>
    <row r="96" spans="10:13" ht="18.45">
      <c r="J96" s="378" t="s">
        <v>403</v>
      </c>
      <c r="K96" s="370"/>
      <c r="L96" s="373"/>
      <c r="M96" s="374"/>
    </row>
    <row r="97" spans="10:13" ht="15.9">
      <c r="J97" s="353" t="s">
        <v>404</v>
      </c>
      <c r="K97" s="370">
        <v>11</v>
      </c>
      <c r="L97" s="373"/>
      <c r="M97" s="374">
        <f t="shared" si="30"/>
        <v>16.059999999999999</v>
      </c>
    </row>
    <row r="98" spans="10:13" ht="15.9">
      <c r="J98" s="353" t="s">
        <v>405</v>
      </c>
      <c r="K98" s="370">
        <v>12</v>
      </c>
      <c r="L98" s="373"/>
      <c r="M98" s="374">
        <f t="shared" si="30"/>
        <v>17.52</v>
      </c>
    </row>
    <row r="99" spans="10:13" ht="15.9">
      <c r="J99" s="353" t="s">
        <v>406</v>
      </c>
      <c r="K99" s="370">
        <v>15</v>
      </c>
      <c r="L99" s="373"/>
      <c r="M99" s="374">
        <f t="shared" si="30"/>
        <v>21.9</v>
      </c>
    </row>
    <row r="100" spans="10:13" ht="15.9">
      <c r="J100" s="353" t="s">
        <v>407</v>
      </c>
      <c r="K100" s="370">
        <v>25</v>
      </c>
      <c r="L100" s="373"/>
      <c r="M100" s="374">
        <f t="shared" si="30"/>
        <v>36.5</v>
      </c>
    </row>
    <row r="101" spans="10:13" ht="15.9">
      <c r="J101" s="353" t="s">
        <v>408</v>
      </c>
      <c r="K101" s="370">
        <v>22</v>
      </c>
      <c r="L101" s="373"/>
      <c r="M101" s="374">
        <f t="shared" si="30"/>
        <v>32.119999999999997</v>
      </c>
    </row>
    <row r="102" spans="10:13" ht="15.9">
      <c r="J102" s="353" t="s">
        <v>409</v>
      </c>
      <c r="K102" s="370">
        <v>45</v>
      </c>
      <c r="L102" s="373"/>
      <c r="M102" s="374">
        <f t="shared" si="30"/>
        <v>65.7</v>
      </c>
    </row>
    <row r="103" spans="10:13" ht="15.9">
      <c r="J103" s="353" t="s">
        <v>410</v>
      </c>
      <c r="K103" s="370">
        <v>40</v>
      </c>
      <c r="L103" s="373"/>
      <c r="M103" s="374">
        <f t="shared" si="30"/>
        <v>58.4</v>
      </c>
    </row>
    <row r="104" spans="10:13" ht="15.9">
      <c r="J104" s="353" t="s">
        <v>411</v>
      </c>
      <c r="K104" s="370">
        <v>50</v>
      </c>
      <c r="L104" s="373"/>
      <c r="M104" s="374">
        <f t="shared" si="30"/>
        <v>73</v>
      </c>
    </row>
    <row r="105" spans="10:13" ht="15.9">
      <c r="J105" s="353" t="s">
        <v>412</v>
      </c>
      <c r="K105" s="370">
        <v>100</v>
      </c>
      <c r="L105" s="373"/>
      <c r="M105" s="374">
        <f t="shared" si="30"/>
        <v>146</v>
      </c>
    </row>
    <row r="106" spans="10:13" ht="15.9">
      <c r="J106" s="353" t="s">
        <v>413</v>
      </c>
      <c r="K106" s="370">
        <v>5</v>
      </c>
      <c r="L106" s="373"/>
      <c r="M106" s="374">
        <f t="shared" si="30"/>
        <v>7.3</v>
      </c>
    </row>
    <row r="107" spans="10:13" ht="15.9">
      <c r="J107" s="353" t="s">
        <v>414</v>
      </c>
      <c r="K107" s="370">
        <v>6</v>
      </c>
      <c r="L107" s="373"/>
      <c r="M107" s="374">
        <f t="shared" si="30"/>
        <v>8.76</v>
      </c>
    </row>
    <row r="108" spans="10:13" ht="15.9">
      <c r="J108" s="353" t="s">
        <v>415</v>
      </c>
      <c r="K108" s="370">
        <v>7.5</v>
      </c>
      <c r="L108" s="373"/>
      <c r="M108" s="374">
        <f t="shared" si="30"/>
        <v>10.95</v>
      </c>
    </row>
    <row r="109" spans="10:13" ht="15.9">
      <c r="J109" s="353" t="s">
        <v>416</v>
      </c>
      <c r="K109" s="370">
        <v>10</v>
      </c>
      <c r="L109" s="373"/>
      <c r="M109" s="374">
        <f t="shared" si="30"/>
        <v>14.6</v>
      </c>
    </row>
    <row r="110" spans="10:13" ht="18.45">
      <c r="J110" s="378" t="s">
        <v>417</v>
      </c>
      <c r="K110" s="370"/>
      <c r="L110" s="373"/>
      <c r="M110" s="373"/>
    </row>
    <row r="111" spans="10:13" ht="15.9">
      <c r="J111" s="353" t="s">
        <v>418</v>
      </c>
      <c r="K111" s="370">
        <v>150</v>
      </c>
      <c r="L111" s="373"/>
      <c r="M111" s="373"/>
    </row>
    <row r="112" spans="10:13" ht="15.9">
      <c r="J112" s="353" t="s">
        <v>419</v>
      </c>
      <c r="K112" s="370">
        <v>200</v>
      </c>
      <c r="L112" s="373"/>
      <c r="M112" s="373"/>
    </row>
    <row r="113" spans="10:13" ht="15.9">
      <c r="J113" s="353" t="s">
        <v>420</v>
      </c>
      <c r="K113" s="370">
        <v>50</v>
      </c>
      <c r="L113" s="373"/>
      <c r="M113" s="373"/>
    </row>
    <row r="114" spans="10:13" ht="15.9">
      <c r="J114" s="353" t="s">
        <v>421</v>
      </c>
      <c r="K114" s="370">
        <v>50</v>
      </c>
      <c r="L114" s="373"/>
      <c r="M114" s="373"/>
    </row>
    <row r="115" spans="10:13" ht="15.9">
      <c r="J115" s="353" t="s">
        <v>422</v>
      </c>
      <c r="K115" s="370">
        <v>7</v>
      </c>
      <c r="L115" s="373"/>
      <c r="M115" s="373"/>
    </row>
    <row r="116" spans="10:13" ht="15.9">
      <c r="J116" s="353" t="s">
        <v>423</v>
      </c>
      <c r="K116" s="370">
        <v>150</v>
      </c>
      <c r="L116" s="373"/>
      <c r="M116" s="373"/>
    </row>
    <row r="117" spans="10:13" ht="15.9">
      <c r="J117" s="353" t="s">
        <v>424</v>
      </c>
      <c r="K117" s="370">
        <v>50</v>
      </c>
      <c r="L117" s="373"/>
      <c r="M117" s="373"/>
    </row>
    <row r="118" spans="10:13" ht="15.9">
      <c r="J118" s="353" t="s">
        <v>425</v>
      </c>
      <c r="K118" s="370">
        <v>7</v>
      </c>
      <c r="L118" s="373"/>
      <c r="M118" s="373"/>
    </row>
    <row r="119" spans="10:13" ht="15.9">
      <c r="J119" s="353" t="s">
        <v>426</v>
      </c>
      <c r="K119" s="370">
        <v>6</v>
      </c>
      <c r="L119" s="373"/>
      <c r="M119" s="373"/>
    </row>
    <row r="120" spans="10:13" ht="15.9">
      <c r="J120" s="353" t="s">
        <v>427</v>
      </c>
      <c r="K120" s="370">
        <v>8</v>
      </c>
      <c r="L120" s="373"/>
      <c r="M120" s="373"/>
    </row>
    <row r="121" spans="10:13" ht="18.45">
      <c r="J121" s="378" t="s">
        <v>428</v>
      </c>
      <c r="K121" s="370"/>
      <c r="L121" s="373"/>
      <c r="M121" s="373"/>
    </row>
    <row r="122" spans="10:13" ht="15.9">
      <c r="J122" s="353" t="s">
        <v>429</v>
      </c>
      <c r="K122" s="370">
        <v>1100</v>
      </c>
      <c r="L122" s="373"/>
      <c r="M122" s="373"/>
    </row>
    <row r="123" spans="10:13" ht="15.9">
      <c r="J123" s="353" t="s">
        <v>430</v>
      </c>
      <c r="K123" s="370">
        <v>1000</v>
      </c>
      <c r="L123" s="373"/>
      <c r="M123" s="373"/>
    </row>
    <row r="124" spans="10:13" ht="15.9">
      <c r="J124" s="353" t="s">
        <v>431</v>
      </c>
      <c r="K124" s="370">
        <v>1100</v>
      </c>
      <c r="L124" s="373"/>
      <c r="M124" s="373"/>
    </row>
    <row r="125" spans="10:13" ht="15.9">
      <c r="J125" s="353" t="s">
        <v>432</v>
      </c>
      <c r="K125" s="370">
        <v>900</v>
      </c>
      <c r="L125" s="373"/>
      <c r="M125" s="373"/>
    </row>
    <row r="126" spans="10:13" ht="15.9">
      <c r="J126" s="353" t="s">
        <v>433</v>
      </c>
      <c r="K126" s="370">
        <v>1400</v>
      </c>
      <c r="L126" s="373"/>
      <c r="M126" s="373"/>
    </row>
    <row r="127" spans="10:13" ht="15.9">
      <c r="J127" s="353" t="s">
        <v>434</v>
      </c>
      <c r="K127" s="370">
        <v>1200</v>
      </c>
      <c r="L127" s="373"/>
      <c r="M127" s="373"/>
    </row>
    <row r="128" spans="10:13" ht="15.9">
      <c r="J128" s="353" t="s">
        <v>435</v>
      </c>
      <c r="K128" s="370">
        <v>250</v>
      </c>
      <c r="L128" s="373"/>
      <c r="M128" s="373"/>
    </row>
    <row r="129" spans="10:13" ht="15.9">
      <c r="J129" s="353" t="s">
        <v>436</v>
      </c>
      <c r="K129" s="370">
        <v>750</v>
      </c>
      <c r="L129" s="373"/>
      <c r="M129" s="373"/>
    </row>
    <row r="130" spans="10:13" ht="15.9">
      <c r="J130" s="353" t="s">
        <v>437</v>
      </c>
      <c r="K130" s="370">
        <v>1000</v>
      </c>
      <c r="L130" s="373"/>
      <c r="M130" s="373"/>
    </row>
    <row r="131" spans="10:13" ht="15.9">
      <c r="J131" s="353" t="s">
        <v>438</v>
      </c>
      <c r="K131" s="370">
        <v>450</v>
      </c>
      <c r="L131" s="373"/>
      <c r="M131" s="373"/>
    </row>
    <row r="132" spans="10:13" ht="15.9">
      <c r="J132" s="353" t="s">
        <v>439</v>
      </c>
      <c r="K132" s="370">
        <v>500</v>
      </c>
      <c r="L132" s="373"/>
      <c r="M132" s="373"/>
    </row>
  </sheetData>
  <sheetProtection algorithmName="SHA-512" hashValue="YEGcqhycWZq5pZ2z+ITtPCG9cxrUj3ofoxz9a+TbYu2qE0d30r2MV2nheX+Wj9HI3+F9PAQ13QM2iK4rMjoqCQ==" saltValue="OWr/edkgrDD7odIkMx6/E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7693-0477-4E2F-A9C1-EF1CB62C8675}">
  <dimension ref="A4:L53"/>
  <sheetViews>
    <sheetView topLeftCell="A31" workbookViewId="0">
      <selection activeCell="H35" sqref="H35"/>
    </sheetView>
  </sheetViews>
  <sheetFormatPr baseColWidth="10" defaultColWidth="9.23046875" defaultRowHeight="14.6"/>
  <cols>
    <col min="2" max="2" width="24.15234375" customWidth="1"/>
    <col min="3" max="3" width="11.23046875" customWidth="1"/>
    <col min="4" max="4" width="11.69140625" customWidth="1"/>
    <col min="7" max="7" width="12.3828125" customWidth="1"/>
    <col min="8" max="8" width="12" customWidth="1"/>
    <col min="9" max="9" width="11.921875" customWidth="1"/>
  </cols>
  <sheetData>
    <row r="4" spans="2:9" ht="20.6">
      <c r="B4" s="351" t="s">
        <v>299</v>
      </c>
      <c r="C4" s="670" t="s">
        <v>620</v>
      </c>
      <c r="D4" s="670"/>
      <c r="E4" s="670"/>
      <c r="G4" s="160">
        <v>2021</v>
      </c>
    </row>
    <row r="5" spans="2:9" ht="36.9">
      <c r="B5" s="356"/>
      <c r="C5" s="357" t="s">
        <v>304</v>
      </c>
      <c r="D5" s="357" t="s">
        <v>305</v>
      </c>
      <c r="E5" s="357" t="s">
        <v>306</v>
      </c>
      <c r="F5" s="357" t="s">
        <v>307</v>
      </c>
      <c r="G5" s="358" t="s">
        <v>37</v>
      </c>
      <c r="H5" s="358" t="s">
        <v>37</v>
      </c>
      <c r="I5" s="358" t="s">
        <v>37</v>
      </c>
    </row>
    <row r="6" spans="2:9" ht="36.9">
      <c r="B6" s="360"/>
      <c r="C6" s="357" t="s">
        <v>304</v>
      </c>
      <c r="D6" s="357" t="s">
        <v>305</v>
      </c>
      <c r="E6" s="357" t="s">
        <v>306</v>
      </c>
      <c r="F6" s="357" t="s">
        <v>307</v>
      </c>
      <c r="G6" s="361" t="s">
        <v>39</v>
      </c>
      <c r="H6" s="362" t="s">
        <v>163</v>
      </c>
      <c r="I6" s="506" t="s">
        <v>496</v>
      </c>
    </row>
    <row r="7" spans="2:9">
      <c r="B7" s="359" t="s">
        <v>4</v>
      </c>
      <c r="C7" s="363">
        <v>361.11275000000001</v>
      </c>
      <c r="D7" s="363">
        <v>598.18025</v>
      </c>
      <c r="E7" s="363">
        <v>834.86085000000003</v>
      </c>
      <c r="F7" s="363">
        <v>1800.17635</v>
      </c>
      <c r="G7" s="359">
        <v>860.65497011116645</v>
      </c>
      <c r="H7" s="364">
        <v>361.11275000000001</v>
      </c>
    </row>
    <row r="8" spans="2:9">
      <c r="B8" s="359" t="s">
        <v>43</v>
      </c>
      <c r="C8" s="363">
        <v>40.848260869565223</v>
      </c>
      <c r="D8" s="363">
        <v>215.14826086956523</v>
      </c>
      <c r="E8" s="363">
        <v>570.87249999999995</v>
      </c>
      <c r="F8" s="363">
        <v>2476.8225000000002</v>
      </c>
      <c r="G8" s="359">
        <v>647.43321257889158</v>
      </c>
      <c r="H8" s="364">
        <v>215.14826086956523</v>
      </c>
    </row>
    <row r="9" spans="2:9">
      <c r="B9" s="359" t="s">
        <v>312</v>
      </c>
      <c r="C9" s="363">
        <v>74.936324999999997</v>
      </c>
      <c r="D9" s="363">
        <v>189.50982500000001</v>
      </c>
      <c r="E9" s="363">
        <v>372.41634375000001</v>
      </c>
      <c r="F9" s="363">
        <v>2499.6728437500001</v>
      </c>
      <c r="G9" s="359">
        <v>416.25964705815971</v>
      </c>
      <c r="H9" s="364">
        <v>85</v>
      </c>
    </row>
    <row r="10" spans="2:9">
      <c r="B10" s="359" t="s">
        <v>6</v>
      </c>
      <c r="C10" s="363">
        <v>12.169374999999999</v>
      </c>
      <c r="D10" s="363">
        <v>54.153194999999997</v>
      </c>
      <c r="E10" s="363">
        <v>215.86724499999997</v>
      </c>
      <c r="F10" s="363">
        <v>1922.0820425115212</v>
      </c>
      <c r="G10" s="359">
        <v>307.51389305922214</v>
      </c>
      <c r="H10" s="364">
        <v>54.153194999999997</v>
      </c>
    </row>
    <row r="11" spans="2:9">
      <c r="B11" s="359" t="s">
        <v>317</v>
      </c>
      <c r="C11" s="363">
        <v>0.74825000000000008</v>
      </c>
      <c r="D11" s="363">
        <v>59.402163043478261</v>
      </c>
      <c r="E11" s="363">
        <v>213.11016304347828</v>
      </c>
      <c r="F11" s="363">
        <v>1060.3062500000001</v>
      </c>
      <c r="G11" s="359">
        <v>289.04725830406909</v>
      </c>
      <c r="H11" s="364">
        <v>59.402163043478261</v>
      </c>
    </row>
    <row r="12" spans="2:9">
      <c r="B12" s="359" t="s">
        <v>319</v>
      </c>
      <c r="C12" s="363">
        <v>52.775350000000003</v>
      </c>
      <c r="D12" s="363">
        <v>124.64750000000001</v>
      </c>
      <c r="E12" s="363">
        <v>251.05749374999999</v>
      </c>
      <c r="F12" s="363">
        <v>1166.8424937499999</v>
      </c>
      <c r="G12" s="359">
        <v>273.22605854316248</v>
      </c>
      <c r="H12" s="364">
        <v>124.64750000000001</v>
      </c>
    </row>
    <row r="13" spans="2:9">
      <c r="B13" s="359" t="s">
        <v>13</v>
      </c>
      <c r="C13" s="363">
        <v>58.783250000000002</v>
      </c>
      <c r="D13" s="363">
        <v>161.43950000000001</v>
      </c>
      <c r="E13" s="363">
        <v>266.72375</v>
      </c>
      <c r="F13" s="363">
        <v>654.37200000000007</v>
      </c>
      <c r="G13" s="359">
        <v>253.04223080046506</v>
      </c>
      <c r="H13" s="364">
        <v>161.43950000000001</v>
      </c>
    </row>
    <row r="14" spans="2:9">
      <c r="B14" s="359" t="s">
        <v>41</v>
      </c>
      <c r="C14" s="363">
        <v>0</v>
      </c>
      <c r="D14" s="363">
        <v>4.5421567249999999</v>
      </c>
      <c r="E14" s="363">
        <v>144.61090672500001</v>
      </c>
      <c r="F14" s="363">
        <v>495.92425000000003</v>
      </c>
      <c r="G14" s="359">
        <v>159.41790991642856</v>
      </c>
      <c r="H14" s="364">
        <v>4.5421567249999999</v>
      </c>
    </row>
    <row r="15" spans="2:9">
      <c r="B15" s="359" t="s">
        <v>42</v>
      </c>
      <c r="C15" s="363">
        <v>0</v>
      </c>
      <c r="D15" s="363">
        <v>34.80046875</v>
      </c>
      <c r="E15" s="363">
        <v>170.80046874999999</v>
      </c>
      <c r="F15" s="363">
        <v>517.42499999999995</v>
      </c>
      <c r="G15" s="359">
        <v>154.47228825757577</v>
      </c>
      <c r="H15" s="364">
        <v>34.80046875</v>
      </c>
    </row>
    <row r="16" spans="2:9">
      <c r="B16" s="359" t="s">
        <v>7</v>
      </c>
      <c r="C16" s="363">
        <v>21.157832907500001</v>
      </c>
      <c r="D16" s="363">
        <v>61.891832907499996</v>
      </c>
      <c r="E16" s="363">
        <v>117.47525</v>
      </c>
      <c r="F16" s="363">
        <v>483.26219000000003</v>
      </c>
      <c r="G16" s="359">
        <v>123.28066354408449</v>
      </c>
      <c r="H16" s="364">
        <v>61.891832907499996</v>
      </c>
    </row>
    <row r="17" spans="2:9">
      <c r="B17" s="359" t="s">
        <v>0</v>
      </c>
      <c r="C17" s="363">
        <v>15.007990196078433</v>
      </c>
      <c r="D17" s="363">
        <v>40.085500000000003</v>
      </c>
      <c r="E17" s="363">
        <v>88.521999999999991</v>
      </c>
      <c r="F17" s="363">
        <v>368.286</v>
      </c>
      <c r="G17" s="359">
        <v>150</v>
      </c>
      <c r="H17" s="364">
        <v>50</v>
      </c>
    </row>
    <row r="18" spans="2:9">
      <c r="B18" s="359" t="s">
        <v>3</v>
      </c>
      <c r="C18" s="363">
        <v>5.6574999999999998</v>
      </c>
      <c r="D18" s="363">
        <v>28.871499999999994</v>
      </c>
      <c r="E18" s="363">
        <v>76.472062499999993</v>
      </c>
      <c r="F18" s="363">
        <v>377.92556249999996</v>
      </c>
      <c r="G18" s="359">
        <v>98.716022050207798</v>
      </c>
      <c r="H18" s="364">
        <v>28.871499999999994</v>
      </c>
    </row>
    <row r="19" spans="2:9">
      <c r="B19" s="359" t="s">
        <v>5</v>
      </c>
      <c r="C19" s="363">
        <v>13.282500000000001</v>
      </c>
      <c r="D19" s="363">
        <v>46.815937500000004</v>
      </c>
      <c r="E19" s="363">
        <v>97.092812500000008</v>
      </c>
      <c r="F19" s="363">
        <v>191.30237499999998</v>
      </c>
      <c r="G19" s="359">
        <v>83.605283188715291</v>
      </c>
      <c r="H19" s="364">
        <v>46.815937500000004</v>
      </c>
    </row>
    <row r="20" spans="2:9">
      <c r="B20" s="359" t="s">
        <v>8</v>
      </c>
      <c r="C20" s="363">
        <v>5.49</v>
      </c>
      <c r="D20" s="363">
        <v>24.115000000000002</v>
      </c>
      <c r="E20" s="363">
        <v>65.390625</v>
      </c>
      <c r="F20" s="363">
        <v>338.765625</v>
      </c>
      <c r="G20" s="359">
        <v>78.87899090443122</v>
      </c>
      <c r="H20" s="364">
        <v>24.115000000000002</v>
      </c>
    </row>
    <row r="21" spans="2:9">
      <c r="B21" s="359" t="s">
        <v>332</v>
      </c>
      <c r="C21" s="363">
        <v>0.91249999999999998</v>
      </c>
      <c r="D21" s="363">
        <v>9.9333333333333336</v>
      </c>
      <c r="E21" s="363">
        <v>38.803333333333335</v>
      </c>
      <c r="F21" s="363">
        <v>211.55250000000001</v>
      </c>
      <c r="G21" s="359">
        <v>58.245038135897445</v>
      </c>
      <c r="H21" s="364">
        <v>9.9333333333333336</v>
      </c>
    </row>
    <row r="22" spans="2:9" ht="15.9">
      <c r="B22" s="504" t="s">
        <v>495</v>
      </c>
      <c r="C22" s="504">
        <v>662.88188397314377</v>
      </c>
      <c r="D22" s="504">
        <v>1653.5364231288768</v>
      </c>
      <c r="E22" s="504">
        <v>3524.0758043518117</v>
      </c>
      <c r="F22" s="504">
        <v>14564.71798251152</v>
      </c>
      <c r="G22" s="504">
        <v>3953.7934664524769</v>
      </c>
      <c r="H22" s="504">
        <f>SUM(H7:H21)</f>
        <v>1321.8735981288769</v>
      </c>
      <c r="I22" s="504">
        <f>SUM(I7:I21)</f>
        <v>0</v>
      </c>
    </row>
    <row r="23" spans="2:9">
      <c r="B23" s="503"/>
      <c r="C23" s="503" t="s">
        <v>142</v>
      </c>
      <c r="D23" s="503" t="s">
        <v>142</v>
      </c>
      <c r="E23" s="503" t="s">
        <v>142</v>
      </c>
      <c r="F23" s="503" t="s">
        <v>142</v>
      </c>
      <c r="G23" s="503" t="s">
        <v>142</v>
      </c>
      <c r="H23" s="503" t="s">
        <v>142</v>
      </c>
      <c r="I23" s="503" t="s">
        <v>142</v>
      </c>
    </row>
    <row r="24" spans="2:9">
      <c r="B24" s="497"/>
      <c r="C24" s="497" t="s">
        <v>304</v>
      </c>
      <c r="D24" s="497" t="s">
        <v>305</v>
      </c>
      <c r="E24" s="497" t="s">
        <v>306</v>
      </c>
      <c r="F24" s="497" t="s">
        <v>307</v>
      </c>
      <c r="G24" s="497" t="s">
        <v>348</v>
      </c>
      <c r="H24" s="497" t="s">
        <v>349</v>
      </c>
    </row>
    <row r="25" spans="2:9">
      <c r="B25" s="501" t="s">
        <v>22</v>
      </c>
      <c r="C25" s="501">
        <v>999.90924657533935</v>
      </c>
      <c r="D25" s="501">
        <v>3857.1610287671106</v>
      </c>
      <c r="E25" s="501">
        <v>7334.1787821917569</v>
      </c>
      <c r="F25" s="501">
        <v>14936.36398041662</v>
      </c>
      <c r="G25" s="501">
        <v>6291.2463251496765</v>
      </c>
      <c r="H25" s="501">
        <v>3857.1610287671106</v>
      </c>
    </row>
    <row r="26" spans="2:9">
      <c r="B26" s="501" t="s">
        <v>21</v>
      </c>
      <c r="C26" s="501">
        <v>819.89891794520554</v>
      </c>
      <c r="D26" s="501">
        <v>2216.6857235007565</v>
      </c>
      <c r="E26" s="501">
        <v>3355.8868055555513</v>
      </c>
      <c r="F26" s="501">
        <v>7815.2205998749814</v>
      </c>
      <c r="G26" s="501">
        <v>3296.7977623042702</v>
      </c>
      <c r="H26" s="501">
        <v>2216.6857235007565</v>
      </c>
    </row>
    <row r="27" spans="2:9">
      <c r="B27" s="501" t="s">
        <v>16</v>
      </c>
      <c r="C27" s="501">
        <v>986.76229166666519</v>
      </c>
      <c r="D27" s="501">
        <v>2072.2008124999952</v>
      </c>
      <c r="E27" s="501">
        <v>2477.7195624999922</v>
      </c>
      <c r="F27" s="501">
        <v>4887.3119749999951</v>
      </c>
      <c r="G27" s="501">
        <v>2442.5535996444887</v>
      </c>
      <c r="H27" s="501">
        <v>2072.2008124999952</v>
      </c>
    </row>
    <row r="28" spans="2:9">
      <c r="B28" s="501" t="s">
        <v>20</v>
      </c>
      <c r="C28" s="501">
        <v>513.79630555555411</v>
      </c>
      <c r="D28" s="501">
        <v>1068.6741722222187</v>
      </c>
      <c r="E28" s="501">
        <v>1460.5278666666645</v>
      </c>
      <c r="F28" s="501">
        <v>3728.4049933333245</v>
      </c>
      <c r="G28" s="501">
        <v>1497.249019875544</v>
      </c>
      <c r="H28" s="501">
        <v>1068.6741722222187</v>
      </c>
    </row>
    <row r="29" spans="2:9">
      <c r="B29" s="500"/>
      <c r="C29" s="500"/>
      <c r="D29" s="500"/>
      <c r="E29" s="500"/>
      <c r="F29" s="500"/>
      <c r="G29" s="500"/>
      <c r="H29" s="500"/>
    </row>
    <row r="30" spans="2:9">
      <c r="B30" s="502" t="s">
        <v>23</v>
      </c>
      <c r="C30" s="502"/>
      <c r="D30" s="502"/>
      <c r="E30" s="502"/>
      <c r="F30" s="502"/>
      <c r="G30" s="502"/>
      <c r="H30" s="502"/>
    </row>
    <row r="31" spans="2:9">
      <c r="B31" s="502" t="s">
        <v>30</v>
      </c>
      <c r="C31" s="502">
        <v>3320.3667617427641</v>
      </c>
      <c r="D31" s="502">
        <v>9214.7217369900827</v>
      </c>
      <c r="E31" s="502">
        <v>14628.313016913962</v>
      </c>
      <c r="F31" s="502">
        <v>31367.301548624921</v>
      </c>
      <c r="G31" s="502">
        <v>13527.84670697398</v>
      </c>
      <c r="H31" s="502">
        <f>SUM(H25:H28)</f>
        <v>9214.7217369900827</v>
      </c>
      <c r="I31" s="502">
        <f>SUM(I25:I28)</f>
        <v>0</v>
      </c>
    </row>
    <row r="32" spans="2:9">
      <c r="B32" s="505" t="s">
        <v>30</v>
      </c>
      <c r="C32" s="505">
        <v>307.44136682803367</v>
      </c>
      <c r="D32" s="505">
        <v>853.21497564722983</v>
      </c>
      <c r="E32" s="505">
        <v>1354.4734274920334</v>
      </c>
      <c r="F32" s="505">
        <v>2904.3797730208257</v>
      </c>
      <c r="G32" s="505">
        <v>1252.5783987938869</v>
      </c>
      <c r="H32" s="505">
        <f>+H31/10.8</f>
        <v>853.21497564722983</v>
      </c>
      <c r="I32" s="505">
        <f>+I31/10.8</f>
        <v>0</v>
      </c>
    </row>
    <row r="34" spans="1:12">
      <c r="A34" s="387"/>
      <c r="B34" s="387"/>
      <c r="C34" s="387"/>
      <c r="D34" s="387"/>
      <c r="E34" s="387"/>
      <c r="G34" s="724"/>
      <c r="H34" s="724"/>
      <c r="I34" s="724"/>
      <c r="J34" s="724"/>
      <c r="K34" s="724"/>
      <c r="L34" s="724"/>
    </row>
    <row r="35" spans="1:12">
      <c r="A35" s="387"/>
      <c r="B35" s="630" t="s">
        <v>147</v>
      </c>
      <c r="C35" s="630"/>
      <c r="D35" s="630"/>
      <c r="E35" s="387"/>
      <c r="G35" s="724"/>
      <c r="H35" s="724"/>
      <c r="I35" s="724"/>
      <c r="J35" s="724"/>
      <c r="K35" s="724"/>
      <c r="L35" s="724"/>
    </row>
    <row r="36" spans="1:12">
      <c r="A36" s="387"/>
      <c r="B36" s="630" t="s">
        <v>553</v>
      </c>
      <c r="C36" s="630"/>
      <c r="D36" s="630"/>
      <c r="E36" s="387"/>
      <c r="G36" s="724"/>
      <c r="H36" s="724"/>
      <c r="I36" s="724"/>
      <c r="J36" s="724"/>
      <c r="K36" s="724"/>
      <c r="L36" s="724"/>
    </row>
    <row r="37" spans="1:12">
      <c r="A37" s="387"/>
      <c r="B37" s="387"/>
      <c r="C37" s="623" t="s">
        <v>503</v>
      </c>
      <c r="D37" s="624" t="s">
        <v>503</v>
      </c>
      <c r="E37" s="387"/>
      <c r="G37" s="724"/>
      <c r="H37" s="724"/>
      <c r="I37" s="724"/>
      <c r="J37" s="724"/>
      <c r="K37" s="724"/>
      <c r="L37" s="724"/>
    </row>
    <row r="38" spans="1:12">
      <c r="A38" s="387"/>
      <c r="B38" s="507"/>
      <c r="C38" s="563" t="s">
        <v>551</v>
      </c>
      <c r="D38" s="625" t="s">
        <v>552</v>
      </c>
      <c r="E38" s="387"/>
      <c r="G38" s="724"/>
      <c r="H38" s="724"/>
      <c r="I38" s="724"/>
      <c r="J38" s="724"/>
      <c r="K38" s="724"/>
      <c r="L38" s="724"/>
    </row>
    <row r="39" spans="1:12">
      <c r="A39" s="387"/>
      <c r="B39" s="507"/>
      <c r="C39" s="563"/>
      <c r="D39" s="626"/>
      <c r="E39" s="387"/>
      <c r="G39" s="724"/>
      <c r="H39" s="724"/>
      <c r="I39" s="724"/>
      <c r="J39" s="724"/>
      <c r="K39" s="724"/>
      <c r="L39" s="724"/>
    </row>
    <row r="40" spans="1:12">
      <c r="A40" s="387"/>
      <c r="B40" s="507" t="s">
        <v>497</v>
      </c>
      <c r="C40" s="565">
        <v>15</v>
      </c>
      <c r="D40" s="627">
        <v>4.4550000000000001</v>
      </c>
      <c r="E40" s="387"/>
      <c r="G40" s="724"/>
      <c r="H40" s="724"/>
      <c r="I40" s="724"/>
      <c r="J40" s="724"/>
      <c r="K40" s="724"/>
      <c r="L40" s="724"/>
    </row>
    <row r="41" spans="1:12">
      <c r="A41" s="387"/>
      <c r="B41" s="507" t="s">
        <v>272</v>
      </c>
      <c r="C41" s="564">
        <v>8.3333333333333339</v>
      </c>
      <c r="D41" s="627">
        <v>2.4750000000000001</v>
      </c>
      <c r="E41" s="387"/>
      <c r="G41" s="724"/>
      <c r="H41" s="724"/>
      <c r="I41" s="724"/>
      <c r="J41" s="724"/>
      <c r="K41" s="724"/>
      <c r="L41" s="724"/>
    </row>
    <row r="42" spans="1:12">
      <c r="A42" s="387"/>
      <c r="B42" s="507" t="s">
        <v>286</v>
      </c>
      <c r="C42" s="564">
        <v>8.6111111111111107</v>
      </c>
      <c r="D42" s="627">
        <v>2.5575000000000001</v>
      </c>
      <c r="E42" s="387"/>
      <c r="G42" s="724"/>
      <c r="H42" s="724"/>
      <c r="I42" s="724"/>
      <c r="J42" s="724"/>
      <c r="K42" s="724"/>
      <c r="L42" s="724"/>
    </row>
    <row r="43" spans="1:12">
      <c r="A43" s="387"/>
      <c r="B43" s="507" t="s">
        <v>287</v>
      </c>
      <c r="C43" s="564">
        <v>24.166666666666668</v>
      </c>
      <c r="D43" s="627">
        <v>7.1775000000000002</v>
      </c>
      <c r="E43" s="387"/>
      <c r="G43" s="724"/>
      <c r="H43" s="724"/>
      <c r="I43" s="724"/>
      <c r="J43" s="724"/>
      <c r="K43" s="724"/>
      <c r="L43" s="724"/>
    </row>
    <row r="44" spans="1:12">
      <c r="A44" s="387"/>
      <c r="B44" s="507" t="s">
        <v>284</v>
      </c>
      <c r="C44" s="566">
        <v>35</v>
      </c>
      <c r="D44" s="628">
        <v>10.395</v>
      </c>
      <c r="E44" s="387"/>
      <c r="G44" s="724"/>
      <c r="H44" s="724"/>
      <c r="I44" s="724"/>
      <c r="J44" s="724"/>
      <c r="K44" s="724"/>
      <c r="L44" s="724"/>
    </row>
    <row r="45" spans="1:12">
      <c r="A45" s="387"/>
      <c r="B45" s="507" t="s">
        <v>247</v>
      </c>
      <c r="C45" s="566">
        <v>50</v>
      </c>
      <c r="D45" s="629">
        <v>13.35</v>
      </c>
      <c r="E45" s="387"/>
      <c r="G45" s="724"/>
      <c r="H45" s="724"/>
      <c r="I45" s="724"/>
      <c r="J45" s="724"/>
      <c r="K45" s="724"/>
      <c r="L45" s="724"/>
    </row>
    <row r="46" spans="1:12">
      <c r="A46" s="387"/>
      <c r="B46" s="567" t="s">
        <v>230</v>
      </c>
      <c r="C46" s="566">
        <v>121</v>
      </c>
      <c r="D46" s="629">
        <v>32.307000000000002</v>
      </c>
      <c r="E46" s="387"/>
      <c r="G46" s="724"/>
      <c r="H46" s="724"/>
      <c r="I46" s="724"/>
      <c r="J46" s="724"/>
      <c r="K46" s="724"/>
      <c r="L46" s="724"/>
    </row>
    <row r="47" spans="1:12">
      <c r="A47" s="387"/>
      <c r="B47" s="507" t="s">
        <v>498</v>
      </c>
      <c r="C47" s="565">
        <v>150</v>
      </c>
      <c r="D47" s="628">
        <v>10.395</v>
      </c>
      <c r="E47" s="387"/>
      <c r="G47" s="724"/>
      <c r="H47" s="724"/>
      <c r="I47" s="724"/>
      <c r="J47" s="724"/>
      <c r="K47" s="724"/>
      <c r="L47" s="724"/>
    </row>
    <row r="48" spans="1:12">
      <c r="A48" s="387"/>
      <c r="B48" s="507" t="s">
        <v>288</v>
      </c>
      <c r="C48" s="566">
        <v>200</v>
      </c>
      <c r="D48" s="628">
        <v>14.85</v>
      </c>
      <c r="E48" s="387"/>
      <c r="G48" s="724"/>
      <c r="H48" s="724"/>
      <c r="I48" s="724"/>
      <c r="J48" s="724"/>
      <c r="K48" s="724"/>
      <c r="L48" s="724"/>
    </row>
    <row r="49" spans="1:12">
      <c r="A49" s="387"/>
      <c r="B49" s="507" t="s">
        <v>291</v>
      </c>
      <c r="C49" s="566">
        <v>354.72222222222223</v>
      </c>
      <c r="D49" s="629">
        <v>94.710833333333326</v>
      </c>
      <c r="E49" s="387"/>
      <c r="G49" s="724"/>
      <c r="H49" s="724"/>
      <c r="I49" s="724"/>
      <c r="J49" s="724"/>
      <c r="K49" s="724"/>
      <c r="L49" s="724"/>
    </row>
    <row r="50" spans="1:12">
      <c r="A50" s="387"/>
      <c r="B50" s="507" t="s">
        <v>290</v>
      </c>
      <c r="C50" s="566">
        <v>1200</v>
      </c>
      <c r="D50" s="629">
        <v>320.39999999999998</v>
      </c>
      <c r="E50" s="387"/>
      <c r="G50" s="724"/>
      <c r="H50" s="724"/>
      <c r="I50" s="724"/>
      <c r="J50" s="724"/>
      <c r="K50" s="724"/>
      <c r="L50" s="724"/>
    </row>
    <row r="51" spans="1:12">
      <c r="A51" s="387"/>
      <c r="B51" s="507" t="s">
        <v>292</v>
      </c>
      <c r="C51" s="566">
        <v>1500</v>
      </c>
      <c r="D51" s="629">
        <v>400.5</v>
      </c>
      <c r="E51" s="387"/>
      <c r="G51" s="724"/>
      <c r="H51" s="724"/>
      <c r="I51" s="724"/>
      <c r="J51" s="724"/>
      <c r="K51" s="724"/>
      <c r="L51" s="724"/>
    </row>
    <row r="52" spans="1:12">
      <c r="A52" s="387"/>
      <c r="B52" s="387"/>
      <c r="C52" s="387"/>
      <c r="D52" s="387"/>
      <c r="E52" s="387"/>
      <c r="G52" s="724"/>
      <c r="H52" s="724"/>
      <c r="I52" s="724"/>
      <c r="J52" s="724"/>
      <c r="K52" s="724"/>
      <c r="L52" s="724"/>
    </row>
    <row r="53" spans="1:12">
      <c r="G53" s="724"/>
      <c r="H53" s="724"/>
      <c r="I53" s="724"/>
      <c r="J53" s="724"/>
      <c r="K53" s="724"/>
      <c r="L53" s="724"/>
    </row>
  </sheetData>
  <sheetProtection algorithmName="SHA-512" hashValue="7Xg1u2r25rWvcDjMdKIOFI6MnyHrpD/4F3cIAybRMLV1MvcSRQJQH+D6avoKhCr9qv6ojlC1fpYPvE8N9U952g==" saltValue="O1QWgkGF82Rwne/TA6hbC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830-D178-4CE2-A483-2ECBEBD21937}">
  <dimension ref="A1:I38"/>
  <sheetViews>
    <sheetView topLeftCell="A13" workbookViewId="0">
      <selection activeCell="F24" sqref="F24"/>
    </sheetView>
  </sheetViews>
  <sheetFormatPr baseColWidth="10" defaultColWidth="11.07421875" defaultRowHeight="14.6"/>
  <cols>
    <col min="2" max="2" width="12.69140625" customWidth="1"/>
    <col min="3" max="3" width="14.69140625" customWidth="1"/>
  </cols>
  <sheetData>
    <row r="1" spans="1:9">
      <c r="B1" t="s">
        <v>554</v>
      </c>
    </row>
    <row r="2" spans="1:9">
      <c r="B2" t="s">
        <v>555</v>
      </c>
      <c r="C2" t="s">
        <v>556</v>
      </c>
    </row>
    <row r="3" spans="1:9">
      <c r="C3" t="s">
        <v>557</v>
      </c>
    </row>
    <row r="4" spans="1:9">
      <c r="A4" s="3" t="s">
        <v>558</v>
      </c>
      <c r="B4" s="3"/>
      <c r="C4" s="3"/>
      <c r="D4" s="3">
        <v>950</v>
      </c>
      <c r="E4" s="3" t="s">
        <v>559</v>
      </c>
      <c r="F4" s="288">
        <f>+D4*$F$6/1000</f>
        <v>332.5</v>
      </c>
      <c r="G4" s="288" t="s">
        <v>37</v>
      </c>
      <c r="H4">
        <v>3</v>
      </c>
      <c r="I4" t="s">
        <v>560</v>
      </c>
    </row>
    <row r="5" spans="1:9">
      <c r="A5" s="3" t="s">
        <v>561</v>
      </c>
      <c r="B5" s="3"/>
      <c r="C5" s="3"/>
      <c r="D5" s="3">
        <v>250</v>
      </c>
      <c r="E5" s="3" t="s">
        <v>559</v>
      </c>
      <c r="F5" s="288">
        <f>+D5*$F$6/1000</f>
        <v>87.5</v>
      </c>
      <c r="G5" s="288" t="s">
        <v>37</v>
      </c>
    </row>
    <row r="6" spans="1:9">
      <c r="A6" s="3"/>
      <c r="B6" s="3"/>
      <c r="C6" s="3"/>
      <c r="D6" s="3"/>
      <c r="E6" s="3"/>
      <c r="F6" s="631">
        <v>350</v>
      </c>
      <c r="G6" t="s">
        <v>562</v>
      </c>
    </row>
    <row r="7" spans="1:9">
      <c r="B7" s="632"/>
      <c r="C7" s="633" t="s">
        <v>563</v>
      </c>
      <c r="D7" s="633" t="s">
        <v>564</v>
      </c>
      <c r="F7" t="s">
        <v>565</v>
      </c>
    </row>
    <row r="8" spans="1:9">
      <c r="B8" s="2" t="s">
        <v>566</v>
      </c>
      <c r="C8" s="634" t="s">
        <v>567</v>
      </c>
      <c r="D8" s="634" t="s">
        <v>31</v>
      </c>
      <c r="F8" t="s">
        <v>568</v>
      </c>
    </row>
    <row r="9" spans="1:9">
      <c r="B9" s="635" t="s">
        <v>569</v>
      </c>
      <c r="C9" s="635">
        <v>73</v>
      </c>
      <c r="D9" s="635">
        <v>1.504</v>
      </c>
      <c r="F9" s="476">
        <f t="shared" ref="F9:F19" si="0">+D9*$F$6/1000</f>
        <v>0.52639999999999998</v>
      </c>
      <c r="G9" s="636">
        <f t="shared" ref="G9:G19" si="1">+F9/$H$4</f>
        <v>0.17546666666666666</v>
      </c>
    </row>
    <row r="10" spans="1:9">
      <c r="B10" s="635" t="s">
        <v>570</v>
      </c>
      <c r="C10" s="635">
        <v>73</v>
      </c>
      <c r="D10" s="635">
        <v>1.5649999999999999</v>
      </c>
      <c r="F10" s="476">
        <f t="shared" si="0"/>
        <v>0.54774999999999996</v>
      </c>
      <c r="G10" s="636">
        <f t="shared" si="1"/>
        <v>0.18258333333333332</v>
      </c>
    </row>
    <row r="11" spans="1:9">
      <c r="B11" s="635" t="s">
        <v>571</v>
      </c>
      <c r="C11" s="635">
        <v>65</v>
      </c>
      <c r="D11" s="635">
        <v>1.2889999999999999</v>
      </c>
      <c r="F11" s="476">
        <f t="shared" si="0"/>
        <v>0.45115</v>
      </c>
      <c r="G11" s="636">
        <f t="shared" si="1"/>
        <v>0.15038333333333334</v>
      </c>
    </row>
    <row r="12" spans="1:9">
      <c r="B12" s="632" t="s">
        <v>572</v>
      </c>
      <c r="C12" s="632">
        <v>70</v>
      </c>
      <c r="D12" s="632">
        <v>1.5489999999999999</v>
      </c>
      <c r="F12" s="476">
        <f t="shared" si="0"/>
        <v>0.54215000000000002</v>
      </c>
      <c r="G12" s="636">
        <f t="shared" si="1"/>
        <v>0.18071666666666666</v>
      </c>
    </row>
    <row r="13" spans="1:9">
      <c r="B13" s="632" t="s">
        <v>573</v>
      </c>
      <c r="C13" s="632">
        <v>60</v>
      </c>
      <c r="D13" s="632">
        <v>1.1850000000000001</v>
      </c>
      <c r="F13" s="476">
        <f t="shared" si="0"/>
        <v>0.41475000000000001</v>
      </c>
      <c r="G13" s="636">
        <f t="shared" si="1"/>
        <v>0.13825000000000001</v>
      </c>
    </row>
    <row r="14" spans="1:9">
      <c r="B14" s="4" t="s">
        <v>574</v>
      </c>
      <c r="C14" s="4">
        <v>55</v>
      </c>
      <c r="D14" s="4">
        <v>0.97699999999999998</v>
      </c>
      <c r="E14" s="3" t="s">
        <v>575</v>
      </c>
      <c r="F14" s="476">
        <f t="shared" si="0"/>
        <v>0.34194999999999998</v>
      </c>
      <c r="G14" s="636">
        <f t="shared" si="1"/>
        <v>0.11398333333333333</v>
      </c>
    </row>
    <row r="15" spans="1:9">
      <c r="B15" s="635" t="s">
        <v>576</v>
      </c>
      <c r="C15" s="635">
        <v>55</v>
      </c>
      <c r="D15" s="635">
        <v>1.0649999999999999</v>
      </c>
      <c r="F15" s="476">
        <f t="shared" si="0"/>
        <v>0.37275000000000003</v>
      </c>
      <c r="G15" s="636">
        <f t="shared" si="1"/>
        <v>0.12425000000000001</v>
      </c>
    </row>
    <row r="16" spans="1:9">
      <c r="B16" s="635" t="s">
        <v>577</v>
      </c>
      <c r="C16" s="635">
        <v>45</v>
      </c>
      <c r="D16" s="635">
        <v>0.80600000000000005</v>
      </c>
      <c r="F16" s="476">
        <f t="shared" si="0"/>
        <v>0.28210000000000002</v>
      </c>
      <c r="G16" s="636">
        <f t="shared" si="1"/>
        <v>9.4033333333333344E-2</v>
      </c>
    </row>
    <row r="17" spans="2:7">
      <c r="B17" s="635" t="s">
        <v>578</v>
      </c>
      <c r="C17" s="635">
        <v>45</v>
      </c>
      <c r="D17" s="635">
        <v>0.76300000000000001</v>
      </c>
      <c r="F17" s="476">
        <f t="shared" si="0"/>
        <v>0.26705000000000001</v>
      </c>
      <c r="G17" s="636">
        <f t="shared" si="1"/>
        <v>8.9016666666666674E-2</v>
      </c>
    </row>
    <row r="18" spans="2:7">
      <c r="B18" s="632" t="s">
        <v>579</v>
      </c>
      <c r="C18" s="632">
        <v>65</v>
      </c>
      <c r="D18" s="632">
        <v>0.90300000000000002</v>
      </c>
      <c r="F18" s="476">
        <f t="shared" si="0"/>
        <v>0.31605</v>
      </c>
      <c r="G18" s="636">
        <f t="shared" si="1"/>
        <v>0.10535</v>
      </c>
    </row>
    <row r="19" spans="2:7">
      <c r="B19" s="632" t="s">
        <v>580</v>
      </c>
      <c r="C19" s="632">
        <v>50</v>
      </c>
      <c r="D19" s="632">
        <v>0.57599999999999996</v>
      </c>
      <c r="F19" s="476">
        <f t="shared" si="0"/>
        <v>0.2016</v>
      </c>
      <c r="G19" s="636">
        <f t="shared" si="1"/>
        <v>6.7199999999999996E-2</v>
      </c>
    </row>
    <row r="20" spans="2:7">
      <c r="B20" s="632" t="s">
        <v>581</v>
      </c>
      <c r="C20" s="632"/>
      <c r="D20" s="632">
        <v>4.0000000000000001E-3</v>
      </c>
      <c r="E20" t="s">
        <v>582</v>
      </c>
    </row>
    <row r="22" spans="2:7">
      <c r="B22" s="707" t="s">
        <v>583</v>
      </c>
      <c r="C22" s="708"/>
    </row>
    <row r="23" spans="2:7">
      <c r="B23" s="637" t="s">
        <v>584</v>
      </c>
      <c r="E23" s="482"/>
    </row>
    <row r="25" spans="2:7">
      <c r="B25" s="707" t="s">
        <v>585</v>
      </c>
      <c r="C25" s="708"/>
    </row>
    <row r="26" spans="2:7">
      <c r="B26" t="s">
        <v>586</v>
      </c>
    </row>
    <row r="28" spans="2:7">
      <c r="B28" s="707" t="s">
        <v>587</v>
      </c>
      <c r="C28" s="708"/>
    </row>
    <row r="29" spans="2:7">
      <c r="B29" t="s">
        <v>588</v>
      </c>
    </row>
    <row r="34" spans="2:7">
      <c r="B34" s="709" t="s">
        <v>589</v>
      </c>
      <c r="C34" s="709"/>
      <c r="D34" s="709"/>
      <c r="E34" s="709" t="s">
        <v>590</v>
      </c>
      <c r="F34" s="709"/>
      <c r="G34" s="709"/>
    </row>
    <row r="35" spans="2:7">
      <c r="B35" s="704">
        <v>365</v>
      </c>
      <c r="C35" s="705"/>
      <c r="D35" s="706"/>
      <c r="E35" s="704">
        <v>3000</v>
      </c>
      <c r="F35" s="705"/>
      <c r="G35" s="706"/>
    </row>
    <row r="38" spans="2:7">
      <c r="B38" t="s">
        <v>591</v>
      </c>
    </row>
  </sheetData>
  <sheetProtection algorithmName="SHA-512" hashValue="dxrasAwNZJMJKo6kjozG8pLJJGyVJrBiTrzXv85OreS9uyz7sjG7vgtAvifrXU/8m6xYpJCgQW33LiOYrKpxOQ==" saltValue="JLv00rY62IQBJ89X3N0XVA==" spinCount="100000" sheet="1" objects="1" scenarios="1"/>
  <mergeCells count="7">
    <mergeCell ref="B35:D35"/>
    <mergeCell ref="E35:G35"/>
    <mergeCell ref="B22:C22"/>
    <mergeCell ref="B25:C25"/>
    <mergeCell ref="B28:C28"/>
    <mergeCell ref="B34:D34"/>
    <mergeCell ref="E34:G3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3EC2-C50C-4F85-82C1-71C36E074855}">
  <dimension ref="A2:Y37"/>
  <sheetViews>
    <sheetView topLeftCell="A7" workbookViewId="0">
      <selection activeCell="A5" sqref="A5"/>
    </sheetView>
  </sheetViews>
  <sheetFormatPr baseColWidth="10" defaultRowHeight="14.6"/>
  <cols>
    <col min="2" max="2" width="13.15234375" customWidth="1"/>
    <col min="5" max="5" width="16.69140625" customWidth="1"/>
    <col min="6" max="6" width="9.3046875" customWidth="1"/>
    <col min="12" max="12" width="9.61328125" customWidth="1"/>
  </cols>
  <sheetData>
    <row r="2" spans="1:7" ht="15.9">
      <c r="A2" s="710" t="s">
        <v>627</v>
      </c>
      <c r="B2" s="716" t="s">
        <v>536</v>
      </c>
      <c r="C2" s="717"/>
      <c r="D2" s="711"/>
      <c r="F2" s="710" t="s">
        <v>628</v>
      </c>
      <c r="G2" s="710"/>
    </row>
    <row r="3" spans="1:7" ht="16.3" thickBot="1">
      <c r="B3" s="487" t="s">
        <v>486</v>
      </c>
      <c r="C3" s="488">
        <f>F3*0.365</f>
        <v>246.59399999999999</v>
      </c>
      <c r="D3" s="489" t="s">
        <v>494</v>
      </c>
      <c r="E3" s="718" t="s">
        <v>493</v>
      </c>
      <c r="F3" s="719">
        <v>675.6</v>
      </c>
    </row>
    <row r="4" spans="1:7" ht="15.9">
      <c r="A4" s="3" t="s">
        <v>629</v>
      </c>
      <c r="C4" s="719">
        <v>250</v>
      </c>
      <c r="D4" s="3" t="s">
        <v>37</v>
      </c>
      <c r="E4" s="490" t="s">
        <v>491</v>
      </c>
      <c r="F4" s="490" t="s">
        <v>492</v>
      </c>
    </row>
    <row r="5" spans="1:7">
      <c r="B5" s="586" t="s">
        <v>485</v>
      </c>
      <c r="C5" s="7" t="s">
        <v>537</v>
      </c>
      <c r="D5" s="587" t="s">
        <v>161</v>
      </c>
      <c r="E5" s="7" t="s">
        <v>538</v>
      </c>
      <c r="F5" s="588" t="s">
        <v>539</v>
      </c>
    </row>
    <row r="6" spans="1:7">
      <c r="B6" s="713">
        <v>44312</v>
      </c>
      <c r="C6" s="714">
        <v>0.46597222222222223</v>
      </c>
      <c r="D6" s="715">
        <v>2090</v>
      </c>
      <c r="E6" s="479">
        <f>+B6-$B$6+(C6-$C$6)</f>
        <v>0</v>
      </c>
      <c r="F6" s="481">
        <f>+D6-$H$79</f>
        <v>2090</v>
      </c>
    </row>
    <row r="7" spans="1:7">
      <c r="B7" s="713">
        <f>+B6</f>
        <v>44312</v>
      </c>
      <c r="C7" s="714">
        <v>0.72916666666666663</v>
      </c>
      <c r="D7" s="715">
        <v>2246</v>
      </c>
      <c r="E7" s="479">
        <f t="shared" ref="E7:E16" si="0">+B7-$B$6+(C7-$C$6)</f>
        <v>0.2631944444444444</v>
      </c>
      <c r="F7" s="481">
        <f>+D7-$H$79</f>
        <v>2246</v>
      </c>
    </row>
    <row r="8" spans="1:7">
      <c r="B8" s="713">
        <f>+B7</f>
        <v>44312</v>
      </c>
      <c r="C8" s="714">
        <v>0.92638888888888893</v>
      </c>
      <c r="D8" s="715">
        <v>2408</v>
      </c>
      <c r="E8" s="479">
        <f t="shared" si="0"/>
        <v>0.4604166666666667</v>
      </c>
      <c r="F8" s="481">
        <f>+D8-$H$79</f>
        <v>2408</v>
      </c>
    </row>
    <row r="9" spans="1:7">
      <c r="B9" s="713">
        <f>+B8+1</f>
        <v>44313</v>
      </c>
      <c r="C9" s="714">
        <v>0.5229166666666667</v>
      </c>
      <c r="D9" s="715">
        <v>2846</v>
      </c>
      <c r="E9" s="479">
        <f t="shared" si="0"/>
        <v>1.0569444444444445</v>
      </c>
      <c r="F9" s="481">
        <f>+D9-$H$79</f>
        <v>2846</v>
      </c>
    </row>
    <row r="10" spans="1:7">
      <c r="B10" s="713">
        <f t="shared" ref="B10:B15" si="1">+B9</f>
        <v>44313</v>
      </c>
      <c r="C10" s="714">
        <v>0.7090277777777777</v>
      </c>
      <c r="D10" s="715">
        <v>2890</v>
      </c>
      <c r="E10" s="720">
        <f t="shared" si="0"/>
        <v>1.2430555555555554</v>
      </c>
      <c r="F10" s="721">
        <f>+D10-$H$79</f>
        <v>2890</v>
      </c>
    </row>
    <row r="11" spans="1:7">
      <c r="B11" s="713">
        <f t="shared" si="1"/>
        <v>44313</v>
      </c>
      <c r="C11" s="714">
        <v>0.750694444444444</v>
      </c>
      <c r="D11" s="715"/>
      <c r="E11" s="720">
        <f t="shared" ref="E11:E15" si="2">+B11-$B$6+(C11-$C$6)</f>
        <v>1.2847222222222219</v>
      </c>
      <c r="F11" s="721"/>
    </row>
    <row r="12" spans="1:7">
      <c r="B12" s="713">
        <f t="shared" si="1"/>
        <v>44313</v>
      </c>
      <c r="C12" s="714">
        <v>0.79236111111111096</v>
      </c>
      <c r="D12" s="715"/>
      <c r="E12" s="720">
        <f t="shared" si="2"/>
        <v>1.3263888888888888</v>
      </c>
      <c r="F12" s="721"/>
    </row>
    <row r="13" spans="1:7">
      <c r="B13" s="713">
        <f t="shared" si="1"/>
        <v>44313</v>
      </c>
      <c r="C13" s="714">
        <v>0.83402777777777803</v>
      </c>
      <c r="D13" s="715"/>
      <c r="E13" s="720">
        <f t="shared" si="2"/>
        <v>1.3680555555555558</v>
      </c>
      <c r="F13" s="721"/>
    </row>
    <row r="14" spans="1:7">
      <c r="B14" s="713">
        <f t="shared" si="1"/>
        <v>44313</v>
      </c>
      <c r="C14" s="714">
        <v>0.875694444444444</v>
      </c>
      <c r="D14" s="715"/>
      <c r="E14" s="720">
        <f t="shared" si="2"/>
        <v>1.4097222222222219</v>
      </c>
      <c r="F14" s="721"/>
    </row>
    <row r="15" spans="1:7">
      <c r="B15" s="713">
        <f t="shared" si="1"/>
        <v>44313</v>
      </c>
      <c r="C15" s="714">
        <v>0.91736111111111096</v>
      </c>
      <c r="D15" s="715"/>
      <c r="E15" s="720">
        <f t="shared" si="2"/>
        <v>1.4513888888888888</v>
      </c>
      <c r="F15" s="721"/>
    </row>
    <row r="16" spans="1:7">
      <c r="B16" s="712">
        <f>+B10</f>
        <v>44313</v>
      </c>
      <c r="D16" s="490" t="s">
        <v>491</v>
      </c>
      <c r="E16" s="479">
        <f t="shared" si="0"/>
        <v>0.53402777777777777</v>
      </c>
      <c r="F16" s="722"/>
    </row>
    <row r="18" spans="1:25">
      <c r="D18" s="723" t="str">
        <f>+A4&amp;C4&amp;D4</f>
        <v>Según la etiqueta=250kWh/año</v>
      </c>
      <c r="E18" s="723"/>
      <c r="F18" s="723"/>
    </row>
    <row r="19" spans="1:25">
      <c r="B19" t="s">
        <v>540</v>
      </c>
      <c r="D19" s="589" t="str">
        <f>+B19&amp;ROUND(F24,1)&amp;" Wh/día"</f>
        <v>Consumo medio diario=800.8 Wh/día</v>
      </c>
      <c r="E19" s="589"/>
      <c r="F19" s="589"/>
    </row>
    <row r="20" spans="1:25">
      <c r="B20" t="s">
        <v>541</v>
      </c>
      <c r="D20" s="592" t="str">
        <f>+B20&amp;ROUND(C24,1)&amp;" kWh/año"</f>
        <v>Consumo medio anual=292.3 kWh/año</v>
      </c>
      <c r="E20" s="592"/>
      <c r="F20" s="592"/>
    </row>
    <row r="21" spans="1:25">
      <c r="A21" s="593"/>
      <c r="B21" s="593"/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</row>
    <row r="22" spans="1:25">
      <c r="A22" s="593"/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</row>
    <row r="23" spans="1:25" ht="15" thickBot="1">
      <c r="A23" s="593"/>
      <c r="B23" s="595"/>
      <c r="C23" s="595"/>
      <c r="D23" s="595"/>
      <c r="E23" s="595"/>
      <c r="F23" s="595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  <c r="W23" s="593"/>
      <c r="X23" s="593"/>
      <c r="Y23" s="593"/>
    </row>
    <row r="24" spans="1:25" ht="16.3" thickBot="1">
      <c r="A24" s="594"/>
      <c r="B24" s="604" t="s">
        <v>486</v>
      </c>
      <c r="C24" s="605">
        <f>+F24*0.365</f>
        <v>292.29199999999997</v>
      </c>
      <c r="D24" s="606" t="s">
        <v>494</v>
      </c>
      <c r="E24" s="607" t="s">
        <v>543</v>
      </c>
      <c r="F24" s="608">
        <v>800.8</v>
      </c>
      <c r="K24" s="593"/>
      <c r="L24" s="593"/>
      <c r="M24" s="593"/>
    </row>
    <row r="25" spans="1:25" ht="15.9">
      <c r="A25" s="594"/>
      <c r="B25" s="609" t="s">
        <v>542</v>
      </c>
      <c r="C25" s="610"/>
      <c r="D25" s="610"/>
      <c r="E25" s="611" t="s">
        <v>491</v>
      </c>
      <c r="F25" s="612" t="s">
        <v>492</v>
      </c>
      <c r="K25" s="593"/>
      <c r="L25" s="593"/>
      <c r="M25" s="593"/>
    </row>
    <row r="26" spans="1:25" ht="15" thickBot="1">
      <c r="A26" s="594"/>
      <c r="B26" s="613" t="s">
        <v>544</v>
      </c>
      <c r="C26" s="614" t="s">
        <v>537</v>
      </c>
      <c r="D26" s="615" t="s">
        <v>539</v>
      </c>
      <c r="E26" s="614" t="s">
        <v>538</v>
      </c>
      <c r="F26" s="616" t="s">
        <v>539</v>
      </c>
      <c r="K26" s="593"/>
      <c r="L26" s="593"/>
      <c r="M26" s="593"/>
    </row>
    <row r="27" spans="1:25">
      <c r="A27" s="594"/>
      <c r="B27" s="617">
        <f>+B16+1</f>
        <v>44314</v>
      </c>
      <c r="C27" s="618">
        <v>0.90069444444444446</v>
      </c>
      <c r="D27" s="200">
        <v>0</v>
      </c>
      <c r="E27" s="619">
        <v>0</v>
      </c>
      <c r="F27" s="620">
        <v>0</v>
      </c>
      <c r="K27" s="593"/>
      <c r="L27" s="593"/>
      <c r="M27" s="593"/>
    </row>
    <row r="28" spans="1:25">
      <c r="A28" s="594"/>
      <c r="B28" s="597">
        <f>+B27+1</f>
        <v>44315</v>
      </c>
      <c r="C28" s="591">
        <v>4.1666666666666666E-3</v>
      </c>
      <c r="D28" s="7">
        <v>103</v>
      </c>
      <c r="E28" s="590">
        <v>0.10347222222222219</v>
      </c>
      <c r="F28" s="598">
        <v>103</v>
      </c>
      <c r="K28" s="593"/>
      <c r="L28" s="593"/>
      <c r="M28" s="593"/>
    </row>
    <row r="29" spans="1:25">
      <c r="A29" s="594"/>
      <c r="B29" s="597">
        <f t="shared" ref="B29:B31" si="3">+B28</f>
        <v>44315</v>
      </c>
      <c r="C29" s="591">
        <v>0.7402777777777777</v>
      </c>
      <c r="D29" s="7">
        <v>662</v>
      </c>
      <c r="E29" s="590">
        <v>0.83958333333333324</v>
      </c>
      <c r="F29" s="598">
        <v>662</v>
      </c>
      <c r="K29" s="593"/>
      <c r="L29" s="593"/>
      <c r="M29" s="593"/>
    </row>
    <row r="30" spans="1:25">
      <c r="A30" s="594"/>
      <c r="B30" s="597">
        <f t="shared" si="3"/>
        <v>44315</v>
      </c>
      <c r="C30" s="591">
        <v>0.84375</v>
      </c>
      <c r="D30" s="7">
        <v>770</v>
      </c>
      <c r="E30" s="590">
        <v>0.94305555555555554</v>
      </c>
      <c r="F30" s="598">
        <v>770</v>
      </c>
      <c r="K30" s="593"/>
      <c r="L30" s="593"/>
      <c r="M30" s="593"/>
    </row>
    <row r="31" spans="1:25" ht="15" thickBot="1">
      <c r="A31" s="594"/>
      <c r="B31" s="599">
        <f t="shared" si="3"/>
        <v>44315</v>
      </c>
      <c r="C31" s="600">
        <v>0.98125000000000007</v>
      </c>
      <c r="D31" s="601">
        <v>879</v>
      </c>
      <c r="E31" s="602">
        <v>1.0805555555555557</v>
      </c>
      <c r="F31" s="603">
        <v>879</v>
      </c>
      <c r="K31" s="593"/>
      <c r="L31" s="593"/>
      <c r="M31" s="593"/>
    </row>
    <row r="32" spans="1:25">
      <c r="A32" s="593"/>
      <c r="B32" s="596"/>
      <c r="C32" s="596"/>
      <c r="D32" s="596"/>
      <c r="E32" s="596"/>
      <c r="F32" s="596"/>
      <c r="G32" s="593"/>
      <c r="K32" s="593"/>
      <c r="L32" s="593"/>
      <c r="M32" s="593"/>
    </row>
    <row r="33" spans="1:13">
      <c r="A33" s="593"/>
      <c r="B33" s="593"/>
      <c r="C33" s="593"/>
      <c r="D33" s="593"/>
      <c r="E33" s="593"/>
      <c r="F33" s="593"/>
      <c r="G33" s="593"/>
      <c r="K33" s="593"/>
      <c r="L33" s="593"/>
      <c r="M33" s="593"/>
    </row>
    <row r="34" spans="1:13">
      <c r="A34" s="593"/>
      <c r="B34" s="593"/>
      <c r="C34" s="593"/>
      <c r="D34" s="593"/>
      <c r="E34" s="593"/>
      <c r="F34" s="593"/>
      <c r="G34" s="593"/>
      <c r="K34" s="593"/>
      <c r="L34" s="593"/>
      <c r="M34" s="593"/>
    </row>
    <row r="35" spans="1:13">
      <c r="A35" s="593"/>
      <c r="B35" s="593"/>
      <c r="C35" s="593"/>
      <c r="D35" s="593"/>
      <c r="E35" s="593"/>
      <c r="F35" s="593"/>
      <c r="G35" s="593"/>
      <c r="K35" s="593"/>
      <c r="L35" s="593"/>
      <c r="M35" s="593"/>
    </row>
    <row r="36" spans="1:13">
      <c r="A36" s="593"/>
      <c r="K36" s="593"/>
      <c r="L36" s="593"/>
      <c r="M36" s="593"/>
    </row>
    <row r="37" spans="1:13">
      <c r="A37" s="593"/>
      <c r="K37" s="593"/>
      <c r="L37" s="593"/>
      <c r="M37" s="593"/>
    </row>
  </sheetData>
  <sheetProtection algorithmName="SHA-512" hashValue="G41/bR/DLOVmtrVo6sI/mkQYcSI6wPd44gpbMuDvSt60ahTeUtHQCTXrwdN5r9xMiU8BlWzf0mUS0/AyUfkuuw==" saltValue="sRbCZqH39/H0ajNyVDLBq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Consumo eléctrico</vt:lpstr>
      <vt:lpstr>Consumo de Gas</vt:lpstr>
      <vt:lpstr>Transporte</vt:lpstr>
      <vt:lpstr>Consumos_Carct._2020</vt:lpstr>
      <vt:lpstr>Consumos_Típico</vt:lpstr>
      <vt:lpstr>Lavavajilla</vt:lpstr>
      <vt:lpstr>Heladera</vt:lpstr>
      <vt:lpstr>'Consumo de Gas'!d_inv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Gil</dc:creator>
  <cp:lastModifiedBy>SGIL</cp:lastModifiedBy>
  <dcterms:created xsi:type="dcterms:W3CDTF">2016-02-29T12:21:52Z</dcterms:created>
  <dcterms:modified xsi:type="dcterms:W3CDTF">2022-06-13T21:10:16Z</dcterms:modified>
</cp:coreProperties>
</file>